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sigs" ContentType="application/vnd.openxmlformats-package.digital-signature-origin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&#65279;<?xml version="1.0" encoding="utf-8"?><Relationships xmlns="http://schemas.openxmlformats.org/package/2006/relationships"><Relationship Id="rId3" Type="http://schemas.openxmlformats.org/officeDocument/2006/relationships/extended-properties" Target="docProps/app.xml" TargetMode="Internal"/><Relationship Id="rId2" Type="http://schemas.openxmlformats.org/package/2006/relationships/metadata/core-properties" Target="docProps/core.xml" TargetMode="Internal"/><Relationship Id="rId1" Type="http://schemas.openxmlformats.org/officeDocument/2006/relationships/officeDocument" Target="xl/workbook.xml" TargetMode="Internal"/><Relationship Id="idRel1" Type="http://schemas.openxmlformats.org/package/2006/relationships/digital-signature/origin" Target="_xmlsignatures/origin.sigs" TargetMode="Interna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itka\Desktop\"/>
    </mc:Choice>
  </mc:AlternateContent>
  <bookViews>
    <workbookView xWindow="0" yWindow="0" windowWidth="21000" windowHeight="11685" tabRatio="532" firstSheet="1" activeTab="6"/>
  </bookViews>
  <sheets>
    <sheet name="Rekapitulace" sheetId="6" r:id="rId1"/>
    <sheet name="palackého" sheetId="3" r:id="rId2"/>
    <sheet name="Ružove" sheetId="1" r:id="rId3"/>
    <sheet name="Wolkerovo" sheetId="4" r:id="rId4"/>
    <sheet name="Neuznatelné" sheetId="8" r:id="rId5"/>
    <sheet name="DVP" sheetId="5" r:id="rId6"/>
    <sheet name="Péče v prvních 3 letech" sheetId="7" r:id="rId7"/>
  </sheets>
  <definedNames>
    <definedName name="_xlnm.Print_Titles" localSheetId="1">palackého!$2:$3</definedName>
    <definedName name="_xlnm.Print_Titles" localSheetId="2">Ružove!$2:$3</definedName>
    <definedName name="_xlnm.Print_Titles" localSheetId="3">Wolkerovo!$2:$3</definedName>
    <definedName name="_xlnm.Print_Area" localSheetId="5">DVP!$A$1:$J$25</definedName>
    <definedName name="_xlnm.Print_Area" localSheetId="4">Neuznatelné!$A$1:$J$92</definedName>
    <definedName name="_xlnm.Print_Area" localSheetId="1">palackého!$A$1:$J$38</definedName>
    <definedName name="_xlnm.Print_Area" localSheetId="6">'Péče v prvních 3 letech'!$A$1:$J$24</definedName>
    <definedName name="_xlnm.Print_Area" localSheetId="2">Ružove!$A$1:$J$59</definedName>
    <definedName name="_xlnm.Print_Area" localSheetId="3">Wolkerovo!$A$1:$J$83</definedName>
  </definedNames>
  <calcPr calcId="152511"/>
</workbook>
</file>

<file path=xl/calcChain.xml><?xml version="1.0" encoding="utf-8"?>
<calcChain xmlns="http://schemas.openxmlformats.org/spreadsheetml/2006/main">
  <c r="H12" i="4" l="1"/>
  <c r="I12" i="4"/>
  <c r="H86" i="8"/>
  <c r="I69" i="8"/>
  <c r="H69" i="8"/>
  <c r="I32" i="8"/>
  <c r="H32" i="8"/>
  <c r="H6" i="8"/>
  <c r="I6" i="8"/>
  <c r="F72" i="4" l="1"/>
  <c r="F86" i="4"/>
  <c r="F42" i="3"/>
  <c r="F18" i="3"/>
  <c r="F40" i="3" s="1"/>
  <c r="F43" i="3" s="1"/>
  <c r="F39" i="3"/>
  <c r="F65" i="1"/>
  <c r="F64" i="1"/>
  <c r="F63" i="1"/>
  <c r="F62" i="1"/>
  <c r="F61" i="1"/>
  <c r="F12" i="1"/>
  <c r="F14" i="1" s="1"/>
  <c r="E34" i="6"/>
  <c r="D34" i="6"/>
  <c r="S94" i="8"/>
  <c r="R94" i="8"/>
  <c r="Q94" i="8"/>
  <c r="P94" i="8"/>
  <c r="O94" i="8"/>
  <c r="G36" i="6"/>
  <c r="E15" i="6" l="1"/>
  <c r="I4" i="5"/>
  <c r="J95" i="8"/>
  <c r="U95" i="8"/>
  <c r="W95" i="8"/>
  <c r="Z95" i="8"/>
  <c r="AA95" i="8"/>
  <c r="AI95" i="8" s="1"/>
  <c r="J96" i="8"/>
  <c r="U96" i="8"/>
  <c r="W96" i="8"/>
  <c r="Z96" i="8"/>
  <c r="AH96" i="8" s="1"/>
  <c r="AA96" i="8"/>
  <c r="AI96" i="8" s="1"/>
  <c r="J97" i="8"/>
  <c r="V97" i="8" s="1"/>
  <c r="U97" i="8"/>
  <c r="W97" i="8"/>
  <c r="Z97" i="8"/>
  <c r="AH97" i="8" s="1"/>
  <c r="AA97" i="8"/>
  <c r="AI97" i="8" s="1"/>
  <c r="J98" i="8"/>
  <c r="U98" i="8"/>
  <c r="W98" i="8"/>
  <c r="Z98" i="8"/>
  <c r="AH98" i="8" s="1"/>
  <c r="AA98" i="8"/>
  <c r="AI98" i="8"/>
  <c r="J99" i="8"/>
  <c r="V99" i="8" s="1"/>
  <c r="U99" i="8"/>
  <c r="W99" i="8"/>
  <c r="Z99" i="8"/>
  <c r="AA99" i="8"/>
  <c r="AI99" i="8" s="1"/>
  <c r="F78" i="8"/>
  <c r="J78" i="8" s="1"/>
  <c r="J83" i="8"/>
  <c r="Y83" i="8" s="1"/>
  <c r="L83" i="8"/>
  <c r="W83" i="8"/>
  <c r="X83" i="8"/>
  <c r="AB83" i="8"/>
  <c r="AC83" i="8"/>
  <c r="AK83" i="8" s="1"/>
  <c r="AJ83" i="8"/>
  <c r="J84" i="8"/>
  <c r="Y84" i="8" s="1"/>
  <c r="L84" i="8"/>
  <c r="W84" i="8"/>
  <c r="X84" i="8"/>
  <c r="AB84" i="8"/>
  <c r="AC84" i="8"/>
  <c r="AK84" i="8"/>
  <c r="F50" i="4"/>
  <c r="F76" i="8"/>
  <c r="AC75" i="8"/>
  <c r="AK75" i="8" s="1"/>
  <c r="AB75" i="8"/>
  <c r="AJ75" i="8" s="1"/>
  <c r="X75" i="8"/>
  <c r="W75" i="8"/>
  <c r="L75" i="8"/>
  <c r="J75" i="8"/>
  <c r="Y75" i="8" s="1"/>
  <c r="AC74" i="8"/>
  <c r="AK74" i="8" s="1"/>
  <c r="AB74" i="8"/>
  <c r="AJ74" i="8" s="1"/>
  <c r="X74" i="8"/>
  <c r="W74" i="8"/>
  <c r="L74" i="8"/>
  <c r="J74" i="8"/>
  <c r="AC73" i="8"/>
  <c r="AK73" i="8" s="1"/>
  <c r="AB73" i="8"/>
  <c r="AJ73" i="8" s="1"/>
  <c r="X73" i="8"/>
  <c r="W73" i="8"/>
  <c r="L73" i="8"/>
  <c r="J73" i="8"/>
  <c r="Y73" i="8" s="1"/>
  <c r="AC72" i="8"/>
  <c r="AK72" i="8" s="1"/>
  <c r="AB72" i="8"/>
  <c r="AJ72" i="8" s="1"/>
  <c r="X72" i="8"/>
  <c r="W72" i="8"/>
  <c r="L72" i="8"/>
  <c r="J72" i="8"/>
  <c r="F71" i="8"/>
  <c r="AC70" i="8"/>
  <c r="AK70" i="8" s="1"/>
  <c r="AB70" i="8"/>
  <c r="AJ70" i="8" s="1"/>
  <c r="X70" i="8"/>
  <c r="W70" i="8"/>
  <c r="L70" i="8"/>
  <c r="J70" i="8"/>
  <c r="U69" i="8"/>
  <c r="T69" i="8"/>
  <c r="S69" i="8"/>
  <c r="R69" i="8"/>
  <c r="Q69" i="8"/>
  <c r="AC77" i="8"/>
  <c r="AB77" i="8"/>
  <c r="X77" i="8"/>
  <c r="W77" i="8"/>
  <c r="L77" i="8"/>
  <c r="AC78" i="8"/>
  <c r="AB78" i="8"/>
  <c r="X78" i="8"/>
  <c r="W78" i="8"/>
  <c r="L78" i="8"/>
  <c r="J79" i="8"/>
  <c r="L79" i="8"/>
  <c r="W79" i="8"/>
  <c r="X79" i="8"/>
  <c r="AB79" i="8"/>
  <c r="AC79" i="8"/>
  <c r="AK79" i="8" s="1"/>
  <c r="J80" i="8"/>
  <c r="Y80" i="8" s="1"/>
  <c r="L80" i="8"/>
  <c r="W80" i="8"/>
  <c r="X80" i="8"/>
  <c r="AB80" i="8"/>
  <c r="AC80" i="8"/>
  <c r="AK80" i="8" s="1"/>
  <c r="J81" i="8"/>
  <c r="L81" i="8"/>
  <c r="W81" i="8"/>
  <c r="X81" i="8"/>
  <c r="AB81" i="8"/>
  <c r="AC81" i="8"/>
  <c r="AK81" i="8" s="1"/>
  <c r="J82" i="8"/>
  <c r="Y82" i="8" s="1"/>
  <c r="L82" i="8"/>
  <c r="W82" i="8"/>
  <c r="X82" i="8"/>
  <c r="AB82" i="8"/>
  <c r="AC82" i="8"/>
  <c r="AK82" i="8" s="1"/>
  <c r="AE56" i="1"/>
  <c r="AD56" i="1"/>
  <c r="Z56" i="1"/>
  <c r="Y56" i="1"/>
  <c r="N56" i="1"/>
  <c r="L56" i="1"/>
  <c r="F56" i="1"/>
  <c r="Q30" i="8"/>
  <c r="R30" i="8"/>
  <c r="S30" i="8"/>
  <c r="T30" i="8"/>
  <c r="U30" i="8"/>
  <c r="J31" i="8"/>
  <c r="Y31" i="8" s="1"/>
  <c r="AH30" i="8" s="1"/>
  <c r="L31" i="8"/>
  <c r="M30" i="8" s="1"/>
  <c r="W31" i="8"/>
  <c r="AF30" i="8" s="1"/>
  <c r="X31" i="8"/>
  <c r="AG30" i="8" s="1"/>
  <c r="AB31" i="8"/>
  <c r="AJ31" i="8" s="1"/>
  <c r="AC31" i="8"/>
  <c r="AK31" i="8" s="1"/>
  <c r="F49" i="8"/>
  <c r="AC49" i="8"/>
  <c r="AB49" i="8"/>
  <c r="X49" i="8"/>
  <c r="W49" i="8"/>
  <c r="L49" i="8"/>
  <c r="AC48" i="8"/>
  <c r="AB48" i="8"/>
  <c r="X48" i="8"/>
  <c r="W48" i="8"/>
  <c r="L48" i="8"/>
  <c r="F38" i="1"/>
  <c r="AC53" i="8"/>
  <c r="AK53" i="8" s="1"/>
  <c r="AB53" i="8"/>
  <c r="AJ53" i="8" s="1"/>
  <c r="X53" i="8"/>
  <c r="W53" i="8"/>
  <c r="L53" i="8"/>
  <c r="J53" i="8"/>
  <c r="AC52" i="8"/>
  <c r="AK52" i="8" s="1"/>
  <c r="AB52" i="8"/>
  <c r="X52" i="8"/>
  <c r="W52" i="8"/>
  <c r="L52" i="8"/>
  <c r="J52" i="8"/>
  <c r="Y52" i="8" s="1"/>
  <c r="AC51" i="8"/>
  <c r="AK51" i="8" s="1"/>
  <c r="AB51" i="8"/>
  <c r="AJ51" i="8" s="1"/>
  <c r="X51" i="8"/>
  <c r="W51" i="8"/>
  <c r="L51" i="8"/>
  <c r="J51" i="8"/>
  <c r="AC50" i="8"/>
  <c r="AK50" i="8" s="1"/>
  <c r="AB50" i="8"/>
  <c r="AJ50" i="8" s="1"/>
  <c r="X50" i="8"/>
  <c r="W50" i="8"/>
  <c r="L50" i="8"/>
  <c r="J50" i="8"/>
  <c r="Y50" i="8" s="1"/>
  <c r="F16" i="1"/>
  <c r="F8" i="1"/>
  <c r="F9" i="1" s="1"/>
  <c r="F34" i="8"/>
  <c r="AC33" i="8"/>
  <c r="AK33" i="8" s="1"/>
  <c r="AB33" i="8"/>
  <c r="AJ33" i="8" s="1"/>
  <c r="X33" i="8"/>
  <c r="W33" i="8"/>
  <c r="L33" i="8"/>
  <c r="J33" i="8"/>
  <c r="Y33" i="8" s="1"/>
  <c r="AM56" i="1" l="1"/>
  <c r="AL56" i="1"/>
  <c r="F34" i="1"/>
  <c r="H94" i="8"/>
  <c r="D36" i="6" s="1"/>
  <c r="AF94" i="8"/>
  <c r="AD94" i="8"/>
  <c r="V96" i="8"/>
  <c r="J100" i="8"/>
  <c r="K94" i="8"/>
  <c r="V98" i="8"/>
  <c r="AJ84" i="8"/>
  <c r="AH99" i="8"/>
  <c r="V95" i="8"/>
  <c r="AH95" i="8"/>
  <c r="AJ78" i="8"/>
  <c r="AK78" i="8"/>
  <c r="AJ79" i="8"/>
  <c r="AK49" i="8"/>
  <c r="J71" i="8"/>
  <c r="AJ81" i="8"/>
  <c r="F77" i="8"/>
  <c r="AK77" i="8" s="1"/>
  <c r="Y72" i="8"/>
  <c r="Y74" i="8"/>
  <c r="Y70" i="8"/>
  <c r="J76" i="8"/>
  <c r="Y78" i="8"/>
  <c r="F48" i="8"/>
  <c r="AK48" i="8" s="1"/>
  <c r="Y81" i="8"/>
  <c r="Y79" i="8"/>
  <c r="AJ82" i="8"/>
  <c r="AJ80" i="8"/>
  <c r="H30" i="8"/>
  <c r="D33" i="6" s="1"/>
  <c r="AJ49" i="8"/>
  <c r="J49" i="8"/>
  <c r="AJ52" i="8"/>
  <c r="Y51" i="8"/>
  <c r="Y53" i="8"/>
  <c r="J34" i="8"/>
  <c r="D37" i="6" l="1"/>
  <c r="F37" i="6" s="1"/>
  <c r="F36" i="6"/>
  <c r="AE94" i="8"/>
  <c r="I94" i="8"/>
  <c r="E36" i="6" s="1"/>
  <c r="E37" i="6" s="1"/>
  <c r="M94" i="8"/>
  <c r="J94" i="8"/>
  <c r="N94" i="8"/>
  <c r="J77" i="8"/>
  <c r="Y77" i="8" s="1"/>
  <c r="AJ48" i="8"/>
  <c r="AJ77" i="8"/>
  <c r="J48" i="8"/>
  <c r="AA56" i="1"/>
  <c r="O30" i="8"/>
  <c r="I30" i="8"/>
  <c r="Y49" i="8"/>
  <c r="P30" i="8" l="1"/>
  <c r="E33" i="6"/>
  <c r="Y48" i="8"/>
  <c r="J30" i="8"/>
  <c r="F7" i="1" l="1"/>
  <c r="L7" i="1" s="1"/>
  <c r="AE6" i="1"/>
  <c r="AM6" i="1" s="1"/>
  <c r="AD6" i="1"/>
  <c r="Z6" i="1"/>
  <c r="Y6" i="1"/>
  <c r="N6" i="1"/>
  <c r="L6" i="1"/>
  <c r="AA6" i="1"/>
  <c r="AL6" i="1" l="1"/>
  <c r="AC10" i="5"/>
  <c r="AK10" i="5" s="1"/>
  <c r="AB10" i="5"/>
  <c r="AJ10" i="5" s="1"/>
  <c r="Y10" i="5"/>
  <c r="W10" i="5"/>
  <c r="L10" i="5"/>
  <c r="J10" i="5"/>
  <c r="AC9" i="5"/>
  <c r="AK9" i="5" s="1"/>
  <c r="AB9" i="5"/>
  <c r="AJ9" i="5" s="1"/>
  <c r="Y9" i="5"/>
  <c r="W9" i="5"/>
  <c r="L9" i="5"/>
  <c r="J9" i="5"/>
  <c r="X9" i="5" s="1"/>
  <c r="AC8" i="5"/>
  <c r="AK8" i="5" s="1"/>
  <c r="AB8" i="5"/>
  <c r="AJ8" i="5" s="1"/>
  <c r="Y8" i="5"/>
  <c r="W8" i="5"/>
  <c r="L8" i="5"/>
  <c r="J8" i="5"/>
  <c r="X8" i="5" l="1"/>
  <c r="X10" i="5"/>
  <c r="J12" i="5"/>
  <c r="AB12" i="5"/>
  <c r="J13" i="5"/>
  <c r="AB13" i="5"/>
  <c r="J14" i="5"/>
  <c r="AB14" i="5"/>
  <c r="J15" i="5"/>
  <c r="AB15" i="5"/>
  <c r="J16" i="5"/>
  <c r="X16" i="5" s="1"/>
  <c r="AB16" i="5"/>
  <c r="J17" i="5"/>
  <c r="AB17" i="5"/>
  <c r="J18" i="5"/>
  <c r="X18" i="5" s="1"/>
  <c r="AB18" i="5"/>
  <c r="J19" i="5"/>
  <c r="AB19" i="5"/>
  <c r="AJ19" i="5" s="1"/>
  <c r="J20" i="5"/>
  <c r="X20" i="5" s="1"/>
  <c r="AB20" i="5"/>
  <c r="J5" i="5"/>
  <c r="X5" i="5" s="1"/>
  <c r="AB5" i="5"/>
  <c r="J6" i="5"/>
  <c r="X6" i="5" s="1"/>
  <c r="AB6" i="5"/>
  <c r="J7" i="5"/>
  <c r="X7" i="5" s="1"/>
  <c r="AB7" i="5"/>
  <c r="D25" i="6" s="1"/>
  <c r="D26" i="6" s="1"/>
  <c r="F17" i="3"/>
  <c r="L17" i="3" s="1"/>
  <c r="F9" i="3"/>
  <c r="L9" i="3" s="1"/>
  <c r="F17" i="1"/>
  <c r="G40" i="6"/>
  <c r="G39" i="6"/>
  <c r="G38" i="6"/>
  <c r="G34" i="6"/>
  <c r="AD27" i="4"/>
  <c r="G33" i="6"/>
  <c r="F33" i="6"/>
  <c r="J90" i="8"/>
  <c r="AC90" i="8"/>
  <c r="H89" i="8" s="1"/>
  <c r="AD90" i="8"/>
  <c r="AL90" i="8" s="1"/>
  <c r="Y90" i="8"/>
  <c r="X90" i="8"/>
  <c r="M90" i="8"/>
  <c r="AH89" i="8"/>
  <c r="AG89" i="8"/>
  <c r="AF89" i="8"/>
  <c r="U89" i="8"/>
  <c r="S89" i="8"/>
  <c r="Q89" i="8"/>
  <c r="M89" i="8"/>
  <c r="AC88" i="8"/>
  <c r="AK88" i="8" s="1"/>
  <c r="AB88" i="8"/>
  <c r="AJ88" i="8" s="1"/>
  <c r="X88" i="8"/>
  <c r="W88" i="8"/>
  <c r="L88" i="8"/>
  <c r="J88" i="8"/>
  <c r="Y88" i="8" s="1"/>
  <c r="AC87" i="8"/>
  <c r="AK87" i="8" s="1"/>
  <c r="AB87" i="8"/>
  <c r="AJ87" i="8" s="1"/>
  <c r="X87" i="8"/>
  <c r="W87" i="8"/>
  <c r="L87" i="8"/>
  <c r="J87" i="8"/>
  <c r="Y87" i="8" s="1"/>
  <c r="U86" i="8"/>
  <c r="S86" i="8"/>
  <c r="Q86" i="8"/>
  <c r="AC11" i="8"/>
  <c r="AK11" i="8" s="1"/>
  <c r="AB11" i="8"/>
  <c r="AJ11" i="8" s="1"/>
  <c r="X11" i="8"/>
  <c r="W11" i="8"/>
  <c r="L11" i="8"/>
  <c r="J11" i="8"/>
  <c r="AC24" i="8"/>
  <c r="AK24" i="8" s="1"/>
  <c r="AB24" i="8"/>
  <c r="J24" i="8"/>
  <c r="Y24" i="8" s="1"/>
  <c r="X24" i="8"/>
  <c r="W24" i="8"/>
  <c r="L24" i="8"/>
  <c r="AC23" i="8"/>
  <c r="AK23" i="8" s="1"/>
  <c r="AB23" i="8"/>
  <c r="AJ23" i="8" s="1"/>
  <c r="X23" i="8"/>
  <c r="W23" i="8"/>
  <c r="L23" i="8"/>
  <c r="J23" i="8"/>
  <c r="Y23" i="8" s="1"/>
  <c r="AC22" i="8"/>
  <c r="AK22" i="8" s="1"/>
  <c r="AB22" i="8"/>
  <c r="J22" i="8"/>
  <c r="Y22" i="8" s="1"/>
  <c r="X22" i="8"/>
  <c r="W22" i="8"/>
  <c r="L22" i="8"/>
  <c r="AC21" i="8"/>
  <c r="AK21" i="8" s="1"/>
  <c r="AB21" i="8"/>
  <c r="AJ21" i="8" s="1"/>
  <c r="X21" i="8"/>
  <c r="W21" i="8"/>
  <c r="L21" i="8"/>
  <c r="J21" i="8"/>
  <c r="Y21" i="8" s="1"/>
  <c r="AC20" i="8"/>
  <c r="AK20" i="8" s="1"/>
  <c r="AB20" i="8"/>
  <c r="AJ20" i="8" s="1"/>
  <c r="X20" i="8"/>
  <c r="W20" i="8"/>
  <c r="L20" i="8"/>
  <c r="J20" i="8"/>
  <c r="Y20" i="8" s="1"/>
  <c r="AC19" i="8"/>
  <c r="AK19" i="8" s="1"/>
  <c r="AB19" i="8"/>
  <c r="AJ19" i="8" s="1"/>
  <c r="X19" i="8"/>
  <c r="W19" i="8"/>
  <c r="L19" i="8"/>
  <c r="J19" i="8"/>
  <c r="AC18" i="8"/>
  <c r="AB18" i="8"/>
  <c r="X18" i="8"/>
  <c r="W18" i="8"/>
  <c r="L18" i="8"/>
  <c r="F18" i="8"/>
  <c r="F16" i="8" s="1"/>
  <c r="AC17" i="8"/>
  <c r="AB17" i="8"/>
  <c r="X17" i="8"/>
  <c r="W17" i="8"/>
  <c r="L17" i="8"/>
  <c r="F17" i="8"/>
  <c r="J17" i="8" s="1"/>
  <c r="AC16" i="8"/>
  <c r="AB16" i="8"/>
  <c r="X16" i="8"/>
  <c r="W16" i="8"/>
  <c r="L16" i="8"/>
  <c r="AC15" i="8"/>
  <c r="AK15" i="8" s="1"/>
  <c r="AB15" i="8"/>
  <c r="AJ15" i="8" s="1"/>
  <c r="X15" i="8"/>
  <c r="W15" i="8"/>
  <c r="L15" i="8"/>
  <c r="J15" i="8"/>
  <c r="AC14" i="8"/>
  <c r="AK14" i="8" s="1"/>
  <c r="AB14" i="8"/>
  <c r="AJ14" i="8" s="1"/>
  <c r="X14" i="8"/>
  <c r="W14" i="8"/>
  <c r="L14" i="8"/>
  <c r="J14" i="8"/>
  <c r="Y14" i="8" s="1"/>
  <c r="F13" i="8"/>
  <c r="J13" i="8" s="1"/>
  <c r="AC12" i="8"/>
  <c r="AK12" i="8" s="1"/>
  <c r="AB12" i="8"/>
  <c r="AJ12" i="8" s="1"/>
  <c r="X12" i="8"/>
  <c r="W12" i="8"/>
  <c r="L12" i="8"/>
  <c r="J12" i="8"/>
  <c r="AC10" i="8"/>
  <c r="AK10" i="8" s="1"/>
  <c r="AB10" i="8"/>
  <c r="AJ10" i="8" s="1"/>
  <c r="X10" i="8"/>
  <c r="W10" i="8"/>
  <c r="W7" i="8"/>
  <c r="W9" i="8"/>
  <c r="L10" i="8"/>
  <c r="L7" i="8"/>
  <c r="L9" i="8"/>
  <c r="J10" i="8"/>
  <c r="Y10" i="8" s="1"/>
  <c r="AC9" i="8"/>
  <c r="AK9" i="8" s="1"/>
  <c r="AB9" i="8"/>
  <c r="AJ9" i="8" s="1"/>
  <c r="X9" i="8"/>
  <c r="X7" i="8"/>
  <c r="J9" i="8"/>
  <c r="Y9" i="8" s="1"/>
  <c r="F8" i="8"/>
  <c r="J8" i="8" s="1"/>
  <c r="AC7" i="8"/>
  <c r="AK7" i="8" s="1"/>
  <c r="AB7" i="8"/>
  <c r="J7" i="8"/>
  <c r="U6" i="8"/>
  <c r="S6" i="8"/>
  <c r="Q6" i="8"/>
  <c r="AC46" i="8"/>
  <c r="AK46" i="8" s="1"/>
  <c r="AB46" i="8"/>
  <c r="X46" i="8"/>
  <c r="W46" i="8"/>
  <c r="L46" i="8"/>
  <c r="J46" i="8"/>
  <c r="F41" i="8"/>
  <c r="J54" i="8"/>
  <c r="Y54" i="8" s="1"/>
  <c r="AB54" i="8"/>
  <c r="L54" i="8"/>
  <c r="W54" i="8"/>
  <c r="X54" i="8"/>
  <c r="AC54" i="8"/>
  <c r="AK54" i="8" s="1"/>
  <c r="J55" i="8"/>
  <c r="Y55" i="8" s="1"/>
  <c r="L55" i="8"/>
  <c r="W55" i="8"/>
  <c r="X55" i="8"/>
  <c r="AB55" i="8"/>
  <c r="AJ55" i="8" s="1"/>
  <c r="AC55" i="8"/>
  <c r="AK55" i="8" s="1"/>
  <c r="J39" i="8"/>
  <c r="Y39" i="8" s="1"/>
  <c r="L39" i="8"/>
  <c r="W39" i="8"/>
  <c r="X39" i="8"/>
  <c r="AB39" i="8"/>
  <c r="AC39" i="8"/>
  <c r="AK39" i="8" s="1"/>
  <c r="J40" i="8"/>
  <c r="Y40" i="8" s="1"/>
  <c r="L40" i="8"/>
  <c r="W40" i="8"/>
  <c r="X40" i="8"/>
  <c r="AB40" i="8"/>
  <c r="AC40" i="8"/>
  <c r="AK40" i="8" s="1"/>
  <c r="AC64" i="8"/>
  <c r="AK64" i="8" s="1"/>
  <c r="AB64" i="8"/>
  <c r="AJ64" i="8" s="1"/>
  <c r="X64" i="8"/>
  <c r="AG63" i="8" s="1"/>
  <c r="W64" i="8"/>
  <c r="AF63" i="8" s="1"/>
  <c r="L64" i="8"/>
  <c r="M63" i="8" s="1"/>
  <c r="J64" i="8"/>
  <c r="Y64" i="8" s="1"/>
  <c r="AH63" i="8" s="1"/>
  <c r="U63" i="8"/>
  <c r="S63" i="8"/>
  <c r="Q63" i="8"/>
  <c r="AC62" i="8"/>
  <c r="AK62" i="8" s="1"/>
  <c r="AB62" i="8"/>
  <c r="AJ62" i="8" s="1"/>
  <c r="X62" i="8"/>
  <c r="W62" i="8"/>
  <c r="L62" i="8"/>
  <c r="J62" i="8"/>
  <c r="Y62" i="8" s="1"/>
  <c r="AC61" i="8"/>
  <c r="AK61" i="8" s="1"/>
  <c r="AB61" i="8"/>
  <c r="AJ61" i="8" s="1"/>
  <c r="X61" i="8"/>
  <c r="W61" i="8"/>
  <c r="L61" i="8"/>
  <c r="J61" i="8"/>
  <c r="Y61" i="8" s="1"/>
  <c r="U60" i="8"/>
  <c r="S60" i="8"/>
  <c r="Q60" i="8"/>
  <c r="AC59" i="8"/>
  <c r="AK59" i="8" s="1"/>
  <c r="AB59" i="8"/>
  <c r="X59" i="8"/>
  <c r="AG58" i="8" s="1"/>
  <c r="W59" i="8"/>
  <c r="AF58" i="8" s="1"/>
  <c r="L59" i="8"/>
  <c r="M58" i="8" s="1"/>
  <c r="J59" i="8"/>
  <c r="Y59" i="8" s="1"/>
  <c r="AH58" i="8" s="1"/>
  <c r="U58" i="8"/>
  <c r="S58" i="8"/>
  <c r="Q58" i="8"/>
  <c r="AC47" i="8"/>
  <c r="AK47" i="8" s="1"/>
  <c r="AB47" i="8"/>
  <c r="AJ47" i="8" s="1"/>
  <c r="X47" i="8"/>
  <c r="W47" i="8"/>
  <c r="L47" i="8"/>
  <c r="J47" i="8"/>
  <c r="Y47" i="8" s="1"/>
  <c r="AC45" i="8"/>
  <c r="AK45" i="8" s="1"/>
  <c r="AB45" i="8"/>
  <c r="X45" i="8"/>
  <c r="W45" i="8"/>
  <c r="L45" i="8"/>
  <c r="J45" i="8"/>
  <c r="Y45" i="8" s="1"/>
  <c r="AC44" i="8"/>
  <c r="AK44" i="8" s="1"/>
  <c r="AB44" i="8"/>
  <c r="AJ44" i="8" s="1"/>
  <c r="X44" i="8"/>
  <c r="W44" i="8"/>
  <c r="L44" i="8"/>
  <c r="J44" i="8"/>
  <c r="AC43" i="8"/>
  <c r="AK43" i="8" s="1"/>
  <c r="AB43" i="8"/>
  <c r="AJ43" i="8" s="1"/>
  <c r="X43" i="8"/>
  <c r="W43" i="8"/>
  <c r="L43" i="8"/>
  <c r="J43" i="8"/>
  <c r="Y43" i="8" s="1"/>
  <c r="AC42" i="8"/>
  <c r="AK42" i="8" s="1"/>
  <c r="AB42" i="8"/>
  <c r="AJ42" i="8" s="1"/>
  <c r="X42" i="8"/>
  <c r="W42" i="8"/>
  <c r="L42" i="8"/>
  <c r="J42" i="8"/>
  <c r="AC41" i="8"/>
  <c r="AK41" i="8" s="1"/>
  <c r="AB41" i="8"/>
  <c r="X41" i="8"/>
  <c r="W41" i="8"/>
  <c r="L41" i="8"/>
  <c r="F38" i="8"/>
  <c r="AC37" i="8"/>
  <c r="AK37" i="8" s="1"/>
  <c r="AB37" i="8"/>
  <c r="AJ37" i="8" s="1"/>
  <c r="X37" i="8"/>
  <c r="X35" i="8"/>
  <c r="X36" i="8"/>
  <c r="W37" i="8"/>
  <c r="L37" i="8"/>
  <c r="J37" i="8"/>
  <c r="Y37" i="8" s="1"/>
  <c r="AC36" i="8"/>
  <c r="AK36" i="8" s="1"/>
  <c r="AB36" i="8"/>
  <c r="AJ36" i="8" s="1"/>
  <c r="W36" i="8"/>
  <c r="L36" i="8"/>
  <c r="J36" i="8"/>
  <c r="Y36" i="8" s="1"/>
  <c r="AC35" i="8"/>
  <c r="AK35" i="8" s="1"/>
  <c r="AB35" i="8"/>
  <c r="AJ35" i="8" s="1"/>
  <c r="W35" i="8"/>
  <c r="L35" i="8"/>
  <c r="J35" i="8"/>
  <c r="Y35" i="8" s="1"/>
  <c r="U32" i="8"/>
  <c r="S32" i="8"/>
  <c r="Q32" i="8"/>
  <c r="AC6" i="7"/>
  <c r="AK6" i="7" s="1"/>
  <c r="AB6" i="7"/>
  <c r="AJ6" i="7" s="1"/>
  <c r="Y6" i="7"/>
  <c r="W6" i="7"/>
  <c r="L6" i="7"/>
  <c r="J6" i="7"/>
  <c r="AC7" i="7"/>
  <c r="AK7" i="7" s="1"/>
  <c r="AB7" i="7"/>
  <c r="AJ7" i="7" s="1"/>
  <c r="Y7" i="7"/>
  <c r="W7" i="7"/>
  <c r="L7" i="7"/>
  <c r="J7" i="7"/>
  <c r="L5" i="3"/>
  <c r="H5" i="3"/>
  <c r="AI5" i="3"/>
  <c r="F8" i="4"/>
  <c r="L8" i="4" s="1"/>
  <c r="L5" i="4" s="1"/>
  <c r="AD8" i="4"/>
  <c r="N8" i="4"/>
  <c r="O5" i="4" s="1"/>
  <c r="Y8" i="4"/>
  <c r="AH5" i="4" s="1"/>
  <c r="Z8" i="4"/>
  <c r="AI5" i="4" s="1"/>
  <c r="AE8" i="4"/>
  <c r="X21" i="5"/>
  <c r="W21" i="5"/>
  <c r="V21" i="5"/>
  <c r="AC20" i="5"/>
  <c r="AK20" i="5" s="1"/>
  <c r="Y20" i="5"/>
  <c r="W20" i="5"/>
  <c r="L20" i="5"/>
  <c r="AF26" i="4"/>
  <c r="AE26" i="4"/>
  <c r="AA26" i="4"/>
  <c r="Z26" i="4"/>
  <c r="O26" i="4"/>
  <c r="F26" i="4"/>
  <c r="AN26" i="4" s="1"/>
  <c r="AF25" i="4"/>
  <c r="AN25" i="4" s="1"/>
  <c r="AE25" i="4"/>
  <c r="AM25" i="4" s="1"/>
  <c r="AA25" i="4"/>
  <c r="Z25" i="4"/>
  <c r="O25" i="4"/>
  <c r="L25" i="4"/>
  <c r="J25" i="4"/>
  <c r="AB25" i="4" s="1"/>
  <c r="F22" i="4"/>
  <c r="L22" i="4" s="1"/>
  <c r="F14" i="4"/>
  <c r="F31" i="1"/>
  <c r="AA31" i="1" s="1"/>
  <c r="AE53" i="1"/>
  <c r="AM53" i="1" s="1"/>
  <c r="AD53" i="1"/>
  <c r="AL53" i="1" s="1"/>
  <c r="Z53" i="1"/>
  <c r="Y53" i="1"/>
  <c r="N53" i="1"/>
  <c r="L53" i="1"/>
  <c r="AA53" i="1"/>
  <c r="AE52" i="1"/>
  <c r="AM52" i="1" s="1"/>
  <c r="AD52" i="1"/>
  <c r="Z52" i="1"/>
  <c r="Y52" i="1"/>
  <c r="N52" i="1"/>
  <c r="L52" i="1"/>
  <c r="AA52" i="1"/>
  <c r="G25" i="6"/>
  <c r="AE68" i="4"/>
  <c r="AM68" i="4" s="1"/>
  <c r="AD68" i="4"/>
  <c r="AL68" i="4" s="1"/>
  <c r="Z68" i="4"/>
  <c r="Y68" i="4"/>
  <c r="N68" i="4"/>
  <c r="L68" i="4"/>
  <c r="J68" i="4"/>
  <c r="AA68" i="4" s="1"/>
  <c r="AE67" i="4"/>
  <c r="AM67" i="4" s="1"/>
  <c r="AD67" i="4"/>
  <c r="Z67" i="4"/>
  <c r="Y67" i="4"/>
  <c r="N67" i="4"/>
  <c r="L67" i="4"/>
  <c r="J67" i="4"/>
  <c r="AA67" i="4" s="1"/>
  <c r="J18" i="7"/>
  <c r="H21" i="7"/>
  <c r="J9" i="7"/>
  <c r="X9" i="7" s="1"/>
  <c r="AC13" i="7"/>
  <c r="AK13" i="7" s="1"/>
  <c r="AB13" i="7"/>
  <c r="J13" i="7"/>
  <c r="Y13" i="7"/>
  <c r="W13" i="7"/>
  <c r="L13" i="7"/>
  <c r="AC12" i="7"/>
  <c r="AK12" i="7" s="1"/>
  <c r="AB12" i="7"/>
  <c r="AJ12" i="7" s="1"/>
  <c r="Y12" i="7"/>
  <c r="W12" i="7"/>
  <c r="L12" i="7"/>
  <c r="AC11" i="7"/>
  <c r="AK11" i="7" s="1"/>
  <c r="AB11" i="7"/>
  <c r="AJ11" i="7" s="1"/>
  <c r="Y11" i="7"/>
  <c r="W11" i="7"/>
  <c r="L11" i="7"/>
  <c r="J11" i="7"/>
  <c r="X11" i="7" s="1"/>
  <c r="AC10" i="7"/>
  <c r="AK10" i="7" s="1"/>
  <c r="AB10" i="7"/>
  <c r="AJ10" i="7" s="1"/>
  <c r="Y10" i="7"/>
  <c r="W10" i="7"/>
  <c r="L10" i="7"/>
  <c r="J10" i="7"/>
  <c r="X10" i="7" s="1"/>
  <c r="AC9" i="7"/>
  <c r="AK9" i="7" s="1"/>
  <c r="AB9" i="7"/>
  <c r="AJ9" i="7" s="1"/>
  <c r="Y9" i="7"/>
  <c r="W9" i="7"/>
  <c r="L9" i="7"/>
  <c r="AC8" i="7"/>
  <c r="AK8" i="7" s="1"/>
  <c r="AB8" i="7"/>
  <c r="AJ8" i="7"/>
  <c r="Y8" i="7"/>
  <c r="W8" i="7"/>
  <c r="L8" i="7"/>
  <c r="J8" i="7"/>
  <c r="X8" i="7" s="1"/>
  <c r="U5" i="7"/>
  <c r="S5" i="7"/>
  <c r="Q5" i="7"/>
  <c r="G13" i="6"/>
  <c r="G17" i="6"/>
  <c r="G22" i="6"/>
  <c r="G21" i="6"/>
  <c r="G20" i="6"/>
  <c r="G15" i="6"/>
  <c r="G14" i="6"/>
  <c r="G12" i="6"/>
  <c r="U11" i="5"/>
  <c r="S11" i="5"/>
  <c r="Q11" i="5"/>
  <c r="AC19" i="5"/>
  <c r="AK19" i="5" s="1"/>
  <c r="Y19" i="5"/>
  <c r="W19" i="5"/>
  <c r="L19" i="5"/>
  <c r="X19" i="5"/>
  <c r="AC18" i="5"/>
  <c r="AK18" i="5" s="1"/>
  <c r="Y18" i="5"/>
  <c r="W18" i="5"/>
  <c r="L18" i="5"/>
  <c r="AC17" i="5"/>
  <c r="AK17" i="5" s="1"/>
  <c r="Y17" i="5"/>
  <c r="W17" i="5"/>
  <c r="L17" i="5"/>
  <c r="X17" i="5"/>
  <c r="AC16" i="5"/>
  <c r="AK16" i="5" s="1"/>
  <c r="Y16" i="5"/>
  <c r="W16" i="5"/>
  <c r="L16" i="5"/>
  <c r="AC15" i="5"/>
  <c r="AK15" i="5" s="1"/>
  <c r="Y15" i="5"/>
  <c r="W15" i="5"/>
  <c r="L15" i="5"/>
  <c r="X15" i="5"/>
  <c r="AC14" i="5"/>
  <c r="AK14" i="5" s="1"/>
  <c r="AJ14" i="5"/>
  <c r="Y14" i="5"/>
  <c r="Y12" i="5"/>
  <c r="Y13" i="5"/>
  <c r="W14" i="5"/>
  <c r="L14" i="5"/>
  <c r="AC13" i="5"/>
  <c r="AK13" i="5" s="1"/>
  <c r="AJ13" i="5"/>
  <c r="W13" i="5"/>
  <c r="L13" i="5"/>
  <c r="X13" i="5"/>
  <c r="AC12" i="5"/>
  <c r="AK12" i="5" s="1"/>
  <c r="W12" i="5"/>
  <c r="L12" i="5"/>
  <c r="AC6" i="5"/>
  <c r="AK6" i="5" s="1"/>
  <c r="AJ6" i="5"/>
  <c r="Y6" i="5"/>
  <c r="W6" i="5"/>
  <c r="L6" i="5"/>
  <c r="W5" i="5"/>
  <c r="W7" i="5"/>
  <c r="AC7" i="5"/>
  <c r="AK7" i="5" s="1"/>
  <c r="AJ7" i="5"/>
  <c r="Y7" i="5"/>
  <c r="L7" i="5"/>
  <c r="AC5" i="5"/>
  <c r="AK5" i="5" s="1"/>
  <c r="Y5" i="5"/>
  <c r="L5" i="5"/>
  <c r="U4" i="5"/>
  <c r="S4" i="5"/>
  <c r="Q4" i="5"/>
  <c r="AE81" i="4"/>
  <c r="AM81" i="4" s="1"/>
  <c r="AD81" i="4"/>
  <c r="AL81" i="4" s="1"/>
  <c r="Z81" i="4"/>
  <c r="Y81" i="4"/>
  <c r="N81" i="4"/>
  <c r="L81" i="4"/>
  <c r="J81" i="4"/>
  <c r="AA81" i="4" s="1"/>
  <c r="AE80" i="4"/>
  <c r="AM80" i="4" s="1"/>
  <c r="AD80" i="4"/>
  <c r="Z80" i="4"/>
  <c r="Y80" i="4"/>
  <c r="N80" i="4"/>
  <c r="L80" i="4"/>
  <c r="J80" i="4"/>
  <c r="AA80" i="4" s="1"/>
  <c r="W79" i="4"/>
  <c r="U79" i="4"/>
  <c r="S79" i="4"/>
  <c r="AE78" i="4"/>
  <c r="AM78" i="4" s="1"/>
  <c r="AD78" i="4"/>
  <c r="AL78" i="4" s="1"/>
  <c r="Z78" i="4"/>
  <c r="Y78" i="4"/>
  <c r="N78" i="4"/>
  <c r="L78" i="4"/>
  <c r="J78" i="4"/>
  <c r="AA78" i="4" s="1"/>
  <c r="AE77" i="4"/>
  <c r="AM77" i="4" s="1"/>
  <c r="AD77" i="4"/>
  <c r="AL77" i="4" s="1"/>
  <c r="Z77" i="4"/>
  <c r="Y77" i="4"/>
  <c r="N77" i="4"/>
  <c r="L77" i="4"/>
  <c r="L76" i="4" s="1"/>
  <c r="J77" i="4"/>
  <c r="AA77" i="4" s="1"/>
  <c r="AF7" i="4"/>
  <c r="AN7" i="4" s="1"/>
  <c r="AE7" i="4"/>
  <c r="AA7" i="4"/>
  <c r="Z7" i="4"/>
  <c r="O7" i="4"/>
  <c r="L7" i="4"/>
  <c r="J7" i="4"/>
  <c r="AB7" i="4" s="1"/>
  <c r="AE6" i="4"/>
  <c r="AM6" i="4" s="1"/>
  <c r="AD6" i="4"/>
  <c r="AL6" i="4" s="1"/>
  <c r="Z6" i="4"/>
  <c r="Y6" i="4"/>
  <c r="N6" i="4"/>
  <c r="L6" i="4"/>
  <c r="J6" i="4"/>
  <c r="AA6" i="4" s="1"/>
  <c r="J13" i="4"/>
  <c r="AA13" i="4" s="1"/>
  <c r="L72" i="4"/>
  <c r="F48" i="4"/>
  <c r="F88" i="4" s="1"/>
  <c r="F46" i="4"/>
  <c r="L46" i="4" s="1"/>
  <c r="AE66" i="4"/>
  <c r="AM66" i="4" s="1"/>
  <c r="AD66" i="4"/>
  <c r="AL66" i="4" s="1"/>
  <c r="Z66" i="4"/>
  <c r="Y66" i="4"/>
  <c r="N66" i="4"/>
  <c r="L66" i="4"/>
  <c r="J66" i="4"/>
  <c r="AA66" i="4" s="1"/>
  <c r="AE65" i="4"/>
  <c r="AM65" i="4" s="1"/>
  <c r="AD65" i="4"/>
  <c r="AL65" i="4" s="1"/>
  <c r="Z65" i="4"/>
  <c r="Y65" i="4"/>
  <c r="N65" i="4"/>
  <c r="L65" i="4"/>
  <c r="J65" i="4"/>
  <c r="AA65" i="4" s="1"/>
  <c r="AE64" i="4"/>
  <c r="AM64" i="4" s="1"/>
  <c r="AD64" i="4"/>
  <c r="AL64" i="4" s="1"/>
  <c r="Z64" i="4"/>
  <c r="Y64" i="4"/>
  <c r="N64" i="4"/>
  <c r="L64" i="4"/>
  <c r="J64" i="4"/>
  <c r="AA64" i="4" s="1"/>
  <c r="AE63" i="4"/>
  <c r="AM63" i="4" s="1"/>
  <c r="AD63" i="4"/>
  <c r="AL63" i="4" s="1"/>
  <c r="Z63" i="4"/>
  <c r="Y63" i="4"/>
  <c r="N63" i="4"/>
  <c r="L63" i="4"/>
  <c r="J63" i="4"/>
  <c r="AA63" i="4" s="1"/>
  <c r="AE62" i="4"/>
  <c r="AM62" i="4" s="1"/>
  <c r="AD62" i="4"/>
  <c r="AL62" i="4" s="1"/>
  <c r="Z62" i="4"/>
  <c r="Y62" i="4"/>
  <c r="N62" i="4"/>
  <c r="L62" i="4"/>
  <c r="J62" i="4"/>
  <c r="AA62" i="4" s="1"/>
  <c r="F40" i="4"/>
  <c r="F41" i="4" s="1"/>
  <c r="AE37" i="4"/>
  <c r="AM37" i="4" s="1"/>
  <c r="AD37" i="4"/>
  <c r="AL37" i="4" s="1"/>
  <c r="Z37" i="4"/>
  <c r="Y37" i="4"/>
  <c r="N37" i="4"/>
  <c r="L37" i="4"/>
  <c r="J37" i="4"/>
  <c r="AA37" i="4" s="1"/>
  <c r="AE36" i="4"/>
  <c r="AM36" i="4" s="1"/>
  <c r="AD36" i="4"/>
  <c r="Z36" i="4"/>
  <c r="Y36" i="4"/>
  <c r="N36" i="4"/>
  <c r="L36" i="4"/>
  <c r="J36" i="4"/>
  <c r="AA36" i="4" s="1"/>
  <c r="AE35" i="4"/>
  <c r="AM35" i="4" s="1"/>
  <c r="AD35" i="4"/>
  <c r="AL35" i="4" s="1"/>
  <c r="Z35" i="4"/>
  <c r="Y35" i="4"/>
  <c r="N35" i="4"/>
  <c r="L35" i="4"/>
  <c r="J35" i="4"/>
  <c r="AA35" i="4" s="1"/>
  <c r="AE34" i="4"/>
  <c r="AM34" i="4" s="1"/>
  <c r="AD34" i="4"/>
  <c r="Z34" i="4"/>
  <c r="Y34" i="4"/>
  <c r="N34" i="4"/>
  <c r="L34" i="4"/>
  <c r="J34" i="4"/>
  <c r="AA34" i="4" s="1"/>
  <c r="AE39" i="4"/>
  <c r="AM39" i="4" s="1"/>
  <c r="AD39" i="4"/>
  <c r="AL39" i="4" s="1"/>
  <c r="Z39" i="4"/>
  <c r="Y39" i="4"/>
  <c r="N39" i="4"/>
  <c r="L39" i="4"/>
  <c r="J39" i="4"/>
  <c r="AA39" i="4" s="1"/>
  <c r="AE38" i="4"/>
  <c r="AM38" i="4" s="1"/>
  <c r="AD38" i="4"/>
  <c r="AL38" i="4" s="1"/>
  <c r="Z38" i="4"/>
  <c r="Y38" i="4"/>
  <c r="N38" i="4"/>
  <c r="L38" i="4"/>
  <c r="J38" i="4"/>
  <c r="AA38" i="4" s="1"/>
  <c r="F33" i="4"/>
  <c r="F32" i="4"/>
  <c r="L32" i="4" s="1"/>
  <c r="AE30" i="4"/>
  <c r="AM30" i="4" s="1"/>
  <c r="AD30" i="4"/>
  <c r="AL30" i="4" s="1"/>
  <c r="Z30" i="4"/>
  <c r="Y30" i="4"/>
  <c r="N30" i="4"/>
  <c r="L30" i="4"/>
  <c r="J30" i="4"/>
  <c r="AA30" i="4" s="1"/>
  <c r="AE29" i="4"/>
  <c r="AM29" i="4" s="1"/>
  <c r="AD29" i="4"/>
  <c r="AL29" i="4" s="1"/>
  <c r="Z29" i="4"/>
  <c r="Y29" i="4"/>
  <c r="N29" i="4"/>
  <c r="L29" i="4"/>
  <c r="J29" i="4"/>
  <c r="AA29" i="4" s="1"/>
  <c r="J31" i="4"/>
  <c r="AA31" i="4" s="1"/>
  <c r="L31" i="4"/>
  <c r="N31" i="4"/>
  <c r="Y31" i="4"/>
  <c r="Z31" i="4"/>
  <c r="AD31" i="4"/>
  <c r="AL31" i="4" s="1"/>
  <c r="AE31" i="4"/>
  <c r="AM31" i="4" s="1"/>
  <c r="N32" i="4"/>
  <c r="Y32" i="4"/>
  <c r="Z32" i="4"/>
  <c r="AD32" i="4"/>
  <c r="AE32" i="4"/>
  <c r="AI76" i="4"/>
  <c r="AH76" i="4"/>
  <c r="O76" i="4"/>
  <c r="W76" i="4"/>
  <c r="U76" i="4"/>
  <c r="S76" i="4"/>
  <c r="AE73" i="4"/>
  <c r="AD73" i="4"/>
  <c r="Z73" i="4"/>
  <c r="Y73" i="4"/>
  <c r="N73" i="4"/>
  <c r="AE72" i="4"/>
  <c r="AD72" i="4"/>
  <c r="Z72" i="4"/>
  <c r="Y72" i="4"/>
  <c r="N72" i="4"/>
  <c r="AE71" i="4"/>
  <c r="AD71" i="4"/>
  <c r="Z71" i="4"/>
  <c r="Y71" i="4"/>
  <c r="N71" i="4"/>
  <c r="AE70" i="4"/>
  <c r="AM70" i="4" s="1"/>
  <c r="AD70" i="4"/>
  <c r="Z70" i="4"/>
  <c r="Y70" i="4"/>
  <c r="N70" i="4"/>
  <c r="L70" i="4"/>
  <c r="J70" i="4"/>
  <c r="AA70" i="4" s="1"/>
  <c r="AE69" i="4"/>
  <c r="AM69" i="4" s="1"/>
  <c r="AD69" i="4"/>
  <c r="AL69" i="4" s="1"/>
  <c r="Z69" i="4"/>
  <c r="Y69" i="4"/>
  <c r="N69" i="4"/>
  <c r="L69" i="4"/>
  <c r="J69" i="4"/>
  <c r="AA69" i="4" s="1"/>
  <c r="AE61" i="4"/>
  <c r="AM61" i="4" s="1"/>
  <c r="AD61" i="4"/>
  <c r="AL61" i="4" s="1"/>
  <c r="Z61" i="4"/>
  <c r="Y61" i="4"/>
  <c r="N61" i="4"/>
  <c r="L61" i="4"/>
  <c r="J61" i="4"/>
  <c r="AA61" i="4" s="1"/>
  <c r="AE60" i="4"/>
  <c r="AM60" i="4" s="1"/>
  <c r="AD60" i="4"/>
  <c r="AL60" i="4" s="1"/>
  <c r="Z60" i="4"/>
  <c r="Y60" i="4"/>
  <c r="N60" i="4"/>
  <c r="L60" i="4"/>
  <c r="J60" i="4"/>
  <c r="AE59" i="4"/>
  <c r="AM59" i="4" s="1"/>
  <c r="AD59" i="4"/>
  <c r="AL59" i="4" s="1"/>
  <c r="Z59" i="4"/>
  <c r="Y59" i="4"/>
  <c r="N59" i="4"/>
  <c r="L59" i="4"/>
  <c r="J59" i="4"/>
  <c r="AA59" i="4" s="1"/>
  <c r="AE58" i="4"/>
  <c r="AM58" i="4" s="1"/>
  <c r="AD58" i="4"/>
  <c r="AL58" i="4" s="1"/>
  <c r="Z58" i="4"/>
  <c r="Y58" i="4"/>
  <c r="N58" i="4"/>
  <c r="L58" i="4"/>
  <c r="J58" i="4"/>
  <c r="AA58" i="4" s="1"/>
  <c r="AE57" i="4"/>
  <c r="AM57" i="4" s="1"/>
  <c r="AD57" i="4"/>
  <c r="AL57" i="4" s="1"/>
  <c r="Z57" i="4"/>
  <c r="Y57" i="4"/>
  <c r="N57" i="4"/>
  <c r="L57" i="4"/>
  <c r="J57" i="4"/>
  <c r="AA57" i="4" s="1"/>
  <c r="AE56" i="4"/>
  <c r="AM56" i="4" s="1"/>
  <c r="AD56" i="4"/>
  <c r="AL56" i="4" s="1"/>
  <c r="Z56" i="4"/>
  <c r="Y56" i="4"/>
  <c r="N56" i="4"/>
  <c r="L56" i="4"/>
  <c r="J56" i="4"/>
  <c r="AA56" i="4" s="1"/>
  <c r="AE55" i="4"/>
  <c r="AM55" i="4" s="1"/>
  <c r="AD55" i="4"/>
  <c r="AL55" i="4" s="1"/>
  <c r="Z55" i="4"/>
  <c r="Y55" i="4"/>
  <c r="N55" i="4"/>
  <c r="L55" i="4"/>
  <c r="J55" i="4"/>
  <c r="AA55" i="4" s="1"/>
  <c r="AE54" i="4"/>
  <c r="AM54" i="4" s="1"/>
  <c r="AD54" i="4"/>
  <c r="AL54" i="4" s="1"/>
  <c r="Z54" i="4"/>
  <c r="Y54" i="4"/>
  <c r="N54" i="4"/>
  <c r="L54" i="4"/>
  <c r="J54" i="4"/>
  <c r="AA54" i="4" s="1"/>
  <c r="AE53" i="4"/>
  <c r="AM53" i="4" s="1"/>
  <c r="AD53" i="4"/>
  <c r="Z53" i="4"/>
  <c r="Y53" i="4"/>
  <c r="N53" i="4"/>
  <c r="L53" i="4"/>
  <c r="J53" i="4"/>
  <c r="AA53" i="4" s="1"/>
  <c r="AE52" i="4"/>
  <c r="AM52" i="4" s="1"/>
  <c r="AD52" i="4"/>
  <c r="AL52" i="4" s="1"/>
  <c r="Z52" i="4"/>
  <c r="Y52" i="4"/>
  <c r="N52" i="4"/>
  <c r="L52" i="4"/>
  <c r="J52" i="4"/>
  <c r="AA52" i="4" s="1"/>
  <c r="AE51" i="4"/>
  <c r="AM51" i="4" s="1"/>
  <c r="AD51" i="4"/>
  <c r="AL51" i="4" s="1"/>
  <c r="Z51" i="4"/>
  <c r="Y51" i="4"/>
  <c r="N51" i="4"/>
  <c r="L51" i="4"/>
  <c r="J51" i="4"/>
  <c r="AE50" i="4"/>
  <c r="AD50" i="4"/>
  <c r="Z50" i="4"/>
  <c r="Y50" i="4"/>
  <c r="N50" i="4"/>
  <c r="AE49" i="4"/>
  <c r="AM49" i="4" s="1"/>
  <c r="AD49" i="4"/>
  <c r="AL49" i="4" s="1"/>
  <c r="Z49" i="4"/>
  <c r="Y49" i="4"/>
  <c r="N49" i="4"/>
  <c r="L49" i="4"/>
  <c r="J49" i="4"/>
  <c r="AA49" i="4" s="1"/>
  <c r="AE48" i="4"/>
  <c r="AD48" i="4"/>
  <c r="Z48" i="4"/>
  <c r="Y48" i="4"/>
  <c r="N48" i="4"/>
  <c r="AE47" i="4"/>
  <c r="AD47" i="4"/>
  <c r="Z47" i="4"/>
  <c r="Y47" i="4"/>
  <c r="N47" i="4"/>
  <c r="AE46" i="4"/>
  <c r="AD46" i="4"/>
  <c r="Z46" i="4"/>
  <c r="Y46" i="4"/>
  <c r="N46" i="4"/>
  <c r="AE45" i="4"/>
  <c r="AM45" i="4" s="1"/>
  <c r="AD45" i="4"/>
  <c r="AL45" i="4" s="1"/>
  <c r="Z45" i="4"/>
  <c r="Y45" i="4"/>
  <c r="N45" i="4"/>
  <c r="L45" i="4"/>
  <c r="J45" i="4"/>
  <c r="AE44" i="4"/>
  <c r="AM44" i="4" s="1"/>
  <c r="AD44" i="4"/>
  <c r="AL44" i="4" s="1"/>
  <c r="Z44" i="4"/>
  <c r="Y44" i="4"/>
  <c r="N44" i="4"/>
  <c r="L44" i="4"/>
  <c r="J44" i="4"/>
  <c r="AE43" i="4"/>
  <c r="AD43" i="4"/>
  <c r="Z43" i="4"/>
  <c r="Y43" i="4"/>
  <c r="N43" i="4"/>
  <c r="AE42" i="4"/>
  <c r="AD42" i="4"/>
  <c r="Z42" i="4"/>
  <c r="Y42" i="4"/>
  <c r="N42" i="4"/>
  <c r="AE41" i="4"/>
  <c r="AD41" i="4"/>
  <c r="Z41" i="4"/>
  <c r="Y41" i="4"/>
  <c r="N41" i="4"/>
  <c r="AE40" i="4"/>
  <c r="AD40" i="4"/>
  <c r="Z40" i="4"/>
  <c r="Y40" i="4"/>
  <c r="N40" i="4"/>
  <c r="AE33" i="4"/>
  <c r="AD33" i="4"/>
  <c r="Z33" i="4"/>
  <c r="Y33" i="4"/>
  <c r="N33" i="4"/>
  <c r="AE28" i="4"/>
  <c r="AM28" i="4" s="1"/>
  <c r="AD28" i="4"/>
  <c r="Z28" i="4"/>
  <c r="Y28" i="4"/>
  <c r="N28" i="4"/>
  <c r="L28" i="4"/>
  <c r="J28" i="4"/>
  <c r="AA28" i="4" s="1"/>
  <c r="AE27" i="4"/>
  <c r="AM27" i="4" s="1"/>
  <c r="AL27" i="4"/>
  <c r="Z27" i="4"/>
  <c r="Y27" i="4"/>
  <c r="N27" i="4"/>
  <c r="L27" i="4"/>
  <c r="J27" i="4"/>
  <c r="AA27" i="4" s="1"/>
  <c r="AE23" i="4"/>
  <c r="AM23" i="4" s="1"/>
  <c r="AD23" i="4"/>
  <c r="AL23" i="4" s="1"/>
  <c r="Z23" i="4"/>
  <c r="Y23" i="4"/>
  <c r="N23" i="4"/>
  <c r="L23" i="4"/>
  <c r="J23" i="4"/>
  <c r="AA23" i="4" s="1"/>
  <c r="AE21" i="4"/>
  <c r="AM21" i="4" s="1"/>
  <c r="AD21" i="4"/>
  <c r="AL21" i="4" s="1"/>
  <c r="Z21" i="4"/>
  <c r="Y21" i="4"/>
  <c r="N21" i="4"/>
  <c r="L21" i="4"/>
  <c r="J21" i="4"/>
  <c r="AA21" i="4" s="1"/>
  <c r="AE20" i="4"/>
  <c r="AM20" i="4" s="1"/>
  <c r="AD20" i="4"/>
  <c r="AL20" i="4" s="1"/>
  <c r="Z20" i="4"/>
  <c r="Y20" i="4"/>
  <c r="N20" i="4"/>
  <c r="L20" i="4"/>
  <c r="J20" i="4"/>
  <c r="AA20" i="4" s="1"/>
  <c r="AE19" i="4"/>
  <c r="AM19" i="4" s="1"/>
  <c r="AD19" i="4"/>
  <c r="AL19" i="4" s="1"/>
  <c r="Z19" i="4"/>
  <c r="Y19" i="4"/>
  <c r="N19" i="4"/>
  <c r="L19" i="4"/>
  <c r="J19" i="4"/>
  <c r="AA19" i="4" s="1"/>
  <c r="AE18" i="4"/>
  <c r="AM18" i="4" s="1"/>
  <c r="AD18" i="4"/>
  <c r="AL18" i="4" s="1"/>
  <c r="Z18" i="4"/>
  <c r="Y18" i="4"/>
  <c r="N18" i="4"/>
  <c r="L18" i="4"/>
  <c r="J18" i="4"/>
  <c r="AA18" i="4" s="1"/>
  <c r="AE17" i="4"/>
  <c r="AM17" i="4" s="1"/>
  <c r="AD17" i="4"/>
  <c r="Z17" i="4"/>
  <c r="Y17" i="4"/>
  <c r="N17" i="4"/>
  <c r="AE16" i="4"/>
  <c r="AM16" i="4" s="1"/>
  <c r="AD16" i="4"/>
  <c r="AL16" i="4" s="1"/>
  <c r="Z16" i="4"/>
  <c r="Y16" i="4"/>
  <c r="N16" i="4"/>
  <c r="L16" i="4"/>
  <c r="J16" i="4"/>
  <c r="AA16" i="4" s="1"/>
  <c r="AE15" i="4"/>
  <c r="AM15" i="4" s="1"/>
  <c r="AD15" i="4"/>
  <c r="AL15" i="4" s="1"/>
  <c r="Z15" i="4"/>
  <c r="Y15" i="4"/>
  <c r="N15" i="4"/>
  <c r="L15" i="4"/>
  <c r="J15" i="4"/>
  <c r="AA15" i="4" s="1"/>
  <c r="AE13" i="4"/>
  <c r="AM13" i="4" s="1"/>
  <c r="AD13" i="4"/>
  <c r="Z13" i="4"/>
  <c r="Y13" i="4"/>
  <c r="N13" i="4"/>
  <c r="L13" i="4"/>
  <c r="W12" i="4"/>
  <c r="U12" i="4"/>
  <c r="S12" i="4"/>
  <c r="AE11" i="4"/>
  <c r="AM11" i="4" s="1"/>
  <c r="AD11" i="4"/>
  <c r="AL11" i="4" s="1"/>
  <c r="Z11" i="4"/>
  <c r="AI10" i="4" s="1"/>
  <c r="Y11" i="4"/>
  <c r="N11" i="4"/>
  <c r="O10" i="4" s="1"/>
  <c r="L11" i="4"/>
  <c r="L10" i="4" s="1"/>
  <c r="J11" i="4"/>
  <c r="AA11" i="4" s="1"/>
  <c r="AJ10" i="4" s="1"/>
  <c r="W10" i="4"/>
  <c r="U10" i="4"/>
  <c r="S10" i="4"/>
  <c r="W5" i="4"/>
  <c r="U5" i="4"/>
  <c r="S5" i="4"/>
  <c r="L21" i="3"/>
  <c r="F22" i="3"/>
  <c r="L22" i="3" s="1"/>
  <c r="F24" i="3"/>
  <c r="AA24" i="3"/>
  <c r="L32" i="3"/>
  <c r="F26" i="3"/>
  <c r="AF11" i="3"/>
  <c r="AN11" i="3" s="1"/>
  <c r="AE11" i="3"/>
  <c r="AM11" i="3" s="1"/>
  <c r="AA11" i="3"/>
  <c r="Z11" i="3"/>
  <c r="O11" i="3"/>
  <c r="L11" i="3"/>
  <c r="AF10" i="3"/>
  <c r="AN10" i="3" s="1"/>
  <c r="AE10" i="3"/>
  <c r="AM10" i="3" s="1"/>
  <c r="AA10" i="3"/>
  <c r="Z10" i="3"/>
  <c r="O10" i="3"/>
  <c r="L10" i="3"/>
  <c r="AB10" i="3"/>
  <c r="AE35" i="3"/>
  <c r="AM35" i="3" s="1"/>
  <c r="AD35" i="3"/>
  <c r="AL35" i="3" s="1"/>
  <c r="Z35" i="3"/>
  <c r="AI34" i="3" s="1"/>
  <c r="Y35" i="3"/>
  <c r="AH34" i="3" s="1"/>
  <c r="N35" i="3"/>
  <c r="O34" i="3" s="1"/>
  <c r="L35" i="3"/>
  <c r="L34" i="3"/>
  <c r="AA35" i="3"/>
  <c r="AJ34" i="3" s="1"/>
  <c r="W34" i="3"/>
  <c r="S34" i="3"/>
  <c r="Q34" i="3"/>
  <c r="AE33" i="3"/>
  <c r="AM33" i="3" s="1"/>
  <c r="AD33" i="3"/>
  <c r="AL33" i="3" s="1"/>
  <c r="Z33" i="3"/>
  <c r="Y33" i="3"/>
  <c r="N33" i="3"/>
  <c r="L33" i="3"/>
  <c r="AA33" i="3"/>
  <c r="AE32" i="3"/>
  <c r="AM32" i="3" s="1"/>
  <c r="AD32" i="3"/>
  <c r="Z32" i="3"/>
  <c r="Y32" i="3"/>
  <c r="N32" i="3"/>
  <c r="AE31" i="3"/>
  <c r="AD31" i="3"/>
  <c r="Z31" i="3"/>
  <c r="Y31" i="3"/>
  <c r="N31" i="3"/>
  <c r="AE30" i="3"/>
  <c r="AD30" i="3"/>
  <c r="Z30" i="3"/>
  <c r="Y30" i="3"/>
  <c r="N30" i="3"/>
  <c r="AE29" i="3"/>
  <c r="AM29" i="3" s="1"/>
  <c r="AD29" i="3"/>
  <c r="Z29" i="3"/>
  <c r="Y29" i="3"/>
  <c r="N29" i="3"/>
  <c r="L29" i="3"/>
  <c r="AE28" i="3"/>
  <c r="AM28" i="3" s="1"/>
  <c r="AD28" i="3"/>
  <c r="Z28" i="3"/>
  <c r="Y28" i="3"/>
  <c r="N28" i="3"/>
  <c r="L28" i="3"/>
  <c r="AA28" i="3"/>
  <c r="AE27" i="3"/>
  <c r="AM27" i="3" s="1"/>
  <c r="AD27" i="3"/>
  <c r="Z27" i="3"/>
  <c r="Z8" i="3"/>
  <c r="Z12" i="3"/>
  <c r="Z13" i="3"/>
  <c r="Z14" i="3"/>
  <c r="Z15" i="3"/>
  <c r="Z16" i="3"/>
  <c r="Z18" i="3"/>
  <c r="Z20" i="3"/>
  <c r="Z21" i="3"/>
  <c r="Z22" i="3"/>
  <c r="Z23" i="3"/>
  <c r="Z24" i="3"/>
  <c r="Z25" i="3"/>
  <c r="Z26" i="3"/>
  <c r="Y27" i="3"/>
  <c r="N27" i="3"/>
  <c r="L27" i="3"/>
  <c r="AA27" i="3"/>
  <c r="AA8" i="3"/>
  <c r="AA12" i="3"/>
  <c r="AA13" i="3"/>
  <c r="AA14" i="3"/>
  <c r="AA15" i="3"/>
  <c r="AA16" i="3"/>
  <c r="AA18" i="3"/>
  <c r="AA20" i="3"/>
  <c r="AA21" i="3"/>
  <c r="AA22" i="3"/>
  <c r="F23" i="3"/>
  <c r="AA25" i="3"/>
  <c r="AA32" i="3"/>
  <c r="AE26" i="3"/>
  <c r="AM26" i="3" s="1"/>
  <c r="AD26" i="3"/>
  <c r="Y26" i="3"/>
  <c r="N26" i="3"/>
  <c r="AE25" i="3"/>
  <c r="AM25" i="3" s="1"/>
  <c r="AD25" i="3"/>
  <c r="AL25" i="3" s="1"/>
  <c r="Y25" i="3"/>
  <c r="N25" i="3"/>
  <c r="L25" i="3"/>
  <c r="AE24" i="3"/>
  <c r="AD24" i="3"/>
  <c r="Y24" i="3"/>
  <c r="N24" i="3"/>
  <c r="AE23" i="3"/>
  <c r="AD23" i="3"/>
  <c r="Y23" i="3"/>
  <c r="N23" i="3"/>
  <c r="AE22" i="3"/>
  <c r="AD22" i="3"/>
  <c r="Y22" i="3"/>
  <c r="N22" i="3"/>
  <c r="AE21" i="3"/>
  <c r="AM21" i="3" s="1"/>
  <c r="AD21" i="3"/>
  <c r="AL21" i="3" s="1"/>
  <c r="Y21" i="3"/>
  <c r="N21" i="3"/>
  <c r="AE20" i="3"/>
  <c r="AM20" i="3" s="1"/>
  <c r="AD20" i="3"/>
  <c r="Y20" i="3"/>
  <c r="N20" i="3"/>
  <c r="L20" i="3"/>
  <c r="AE18" i="3"/>
  <c r="AM18" i="3" s="1"/>
  <c r="AD18" i="3"/>
  <c r="AL18" i="3" s="1"/>
  <c r="Y18" i="3"/>
  <c r="N18" i="3"/>
  <c r="L18" i="3"/>
  <c r="AE16" i="3"/>
  <c r="AM16" i="3" s="1"/>
  <c r="AD16" i="3"/>
  <c r="AL16" i="3" s="1"/>
  <c r="Y16" i="3"/>
  <c r="N16" i="3"/>
  <c r="L16" i="3"/>
  <c r="AE15" i="3"/>
  <c r="AM15" i="3" s="1"/>
  <c r="AD15" i="3"/>
  <c r="AL15" i="3" s="1"/>
  <c r="Y15" i="3"/>
  <c r="N15" i="3"/>
  <c r="L15" i="3"/>
  <c r="AE14" i="3"/>
  <c r="AM14" i="3" s="1"/>
  <c r="AD14" i="3"/>
  <c r="AL14" i="3" s="1"/>
  <c r="Y14" i="3"/>
  <c r="N14" i="3"/>
  <c r="L14" i="3"/>
  <c r="AE13" i="3"/>
  <c r="AM13" i="3" s="1"/>
  <c r="AD13" i="3"/>
  <c r="Y13" i="3"/>
  <c r="N13" i="3"/>
  <c r="L13" i="3"/>
  <c r="AE12" i="3"/>
  <c r="AM12" i="3" s="1"/>
  <c r="AD12" i="3"/>
  <c r="AL12" i="3" s="1"/>
  <c r="Y12" i="3"/>
  <c r="N12" i="3"/>
  <c r="N8" i="3"/>
  <c r="L12" i="3"/>
  <c r="AE8" i="3"/>
  <c r="AM8" i="3" s="1"/>
  <c r="AD8" i="3"/>
  <c r="AL8" i="3" s="1"/>
  <c r="Y8" i="3"/>
  <c r="L8" i="3"/>
  <c r="W7" i="3"/>
  <c r="U7" i="3"/>
  <c r="S7" i="3"/>
  <c r="O5" i="3"/>
  <c r="W5" i="3"/>
  <c r="U5" i="3"/>
  <c r="S5" i="3"/>
  <c r="S5" i="1"/>
  <c r="U5" i="1"/>
  <c r="W5" i="1"/>
  <c r="L8" i="1"/>
  <c r="N8" i="1"/>
  <c r="Y8" i="1"/>
  <c r="Z8" i="1"/>
  <c r="AD8" i="1"/>
  <c r="AL8" i="1" s="1"/>
  <c r="AE8" i="1"/>
  <c r="AM8" i="1" s="1"/>
  <c r="N9" i="1"/>
  <c r="Y9" i="1"/>
  <c r="Z9" i="1"/>
  <c r="AD9" i="1"/>
  <c r="AE9" i="1"/>
  <c r="L10" i="1"/>
  <c r="N10" i="1"/>
  <c r="Y10" i="1"/>
  <c r="Z10" i="1"/>
  <c r="AD10" i="1"/>
  <c r="AL10" i="1" s="1"/>
  <c r="AE10" i="1"/>
  <c r="AM10" i="1" s="1"/>
  <c r="L11" i="1"/>
  <c r="N11" i="1"/>
  <c r="Y11" i="1"/>
  <c r="Z11" i="1"/>
  <c r="AD11" i="1"/>
  <c r="AE11" i="1"/>
  <c r="AM11" i="1" s="1"/>
  <c r="L12" i="1"/>
  <c r="N12" i="1"/>
  <c r="Y12" i="1"/>
  <c r="Z12" i="1"/>
  <c r="AD12" i="1"/>
  <c r="AL12" i="1" s="1"/>
  <c r="AE12" i="1"/>
  <c r="AM12" i="1" s="1"/>
  <c r="L13" i="1"/>
  <c r="N13" i="1"/>
  <c r="Y13" i="1"/>
  <c r="Z13" i="1"/>
  <c r="AD13" i="1"/>
  <c r="AL13" i="1" s="1"/>
  <c r="AE13" i="1"/>
  <c r="AM13" i="1" s="1"/>
  <c r="L14" i="1"/>
  <c r="N14" i="1"/>
  <c r="Y14" i="1"/>
  <c r="Z14" i="1"/>
  <c r="AD14" i="1"/>
  <c r="AL14" i="1" s="1"/>
  <c r="AE14" i="1"/>
  <c r="AM14" i="1" s="1"/>
  <c r="L16" i="1"/>
  <c r="N16" i="1"/>
  <c r="Y16" i="1"/>
  <c r="Z16" i="1"/>
  <c r="AD16" i="1"/>
  <c r="AL16" i="1" s="1"/>
  <c r="AE16" i="1"/>
  <c r="AM16" i="1" s="1"/>
  <c r="L18" i="1"/>
  <c r="N18" i="1"/>
  <c r="Y18" i="1"/>
  <c r="Z18" i="1"/>
  <c r="AD18" i="1"/>
  <c r="AL18" i="1" s="1"/>
  <c r="AE18" i="1"/>
  <c r="AM18" i="1" s="1"/>
  <c r="N31" i="1"/>
  <c r="Y31" i="1"/>
  <c r="Z31" i="1"/>
  <c r="AD31" i="1"/>
  <c r="AE31" i="1"/>
  <c r="L32" i="1"/>
  <c r="N32" i="1"/>
  <c r="Y32" i="1"/>
  <c r="Z32" i="1"/>
  <c r="AD32" i="1"/>
  <c r="AL32" i="1" s="1"/>
  <c r="AE32" i="1"/>
  <c r="AM32" i="1" s="1"/>
  <c r="L20" i="1"/>
  <c r="N20" i="1"/>
  <c r="Y20" i="1"/>
  <c r="Z20" i="1"/>
  <c r="AD20" i="1"/>
  <c r="AL20" i="1" s="1"/>
  <c r="AE20" i="1"/>
  <c r="AM20" i="1" s="1"/>
  <c r="L21" i="1"/>
  <c r="N21" i="1"/>
  <c r="Y21" i="1"/>
  <c r="Z21" i="1"/>
  <c r="AD21" i="1"/>
  <c r="AL21" i="1" s="1"/>
  <c r="AE21" i="1"/>
  <c r="AM21" i="1" s="1"/>
  <c r="L22" i="1"/>
  <c r="N22" i="1"/>
  <c r="Y22" i="1"/>
  <c r="Z22" i="1"/>
  <c r="AD22" i="1"/>
  <c r="AL22" i="1" s="1"/>
  <c r="AE22" i="1"/>
  <c r="AM22" i="1" s="1"/>
  <c r="L23" i="1"/>
  <c r="N23" i="1"/>
  <c r="Y23" i="1"/>
  <c r="Z23" i="1"/>
  <c r="AD23" i="1"/>
  <c r="AL23" i="1" s="1"/>
  <c r="AE23" i="1"/>
  <c r="AM23" i="1" s="1"/>
  <c r="L24" i="1"/>
  <c r="N24" i="1"/>
  <c r="Y24" i="1"/>
  <c r="Z24" i="1"/>
  <c r="AD24" i="1"/>
  <c r="AL24" i="1" s="1"/>
  <c r="AE24" i="1"/>
  <c r="AM24" i="1" s="1"/>
  <c r="L25" i="1"/>
  <c r="N25" i="1"/>
  <c r="Y25" i="1"/>
  <c r="Z25" i="1"/>
  <c r="AD25" i="1"/>
  <c r="AL25" i="1" s="1"/>
  <c r="AE25" i="1"/>
  <c r="AM25" i="1" s="1"/>
  <c r="L26" i="1"/>
  <c r="N26" i="1"/>
  <c r="Y26" i="1"/>
  <c r="Z26" i="1"/>
  <c r="AD26" i="1"/>
  <c r="AL26" i="1" s="1"/>
  <c r="AE26" i="1"/>
  <c r="AM26" i="1" s="1"/>
  <c r="L27" i="1"/>
  <c r="N27" i="1"/>
  <c r="Y27" i="1"/>
  <c r="Z27" i="1"/>
  <c r="AD27" i="1"/>
  <c r="AE27" i="1"/>
  <c r="AM27" i="1" s="1"/>
  <c r="L28" i="1"/>
  <c r="N28" i="1"/>
  <c r="Y28" i="1"/>
  <c r="Z28" i="1"/>
  <c r="AD28" i="1"/>
  <c r="AE28" i="1"/>
  <c r="AM28" i="1" s="1"/>
  <c r="L29" i="1"/>
  <c r="N29" i="1"/>
  <c r="Y29" i="1"/>
  <c r="Z29" i="1"/>
  <c r="AD29" i="1"/>
  <c r="AL29" i="1" s="1"/>
  <c r="AE29" i="1"/>
  <c r="AM29" i="1" s="1"/>
  <c r="L30" i="1"/>
  <c r="N30" i="1"/>
  <c r="Y30" i="1"/>
  <c r="Z30" i="1"/>
  <c r="AD30" i="1"/>
  <c r="AL30" i="1" s="1"/>
  <c r="AE30" i="1"/>
  <c r="AM30" i="1" s="1"/>
  <c r="L33" i="1"/>
  <c r="N33" i="1"/>
  <c r="Y33" i="1"/>
  <c r="Z33" i="1"/>
  <c r="AD33" i="1"/>
  <c r="AL33" i="1" s="1"/>
  <c r="AE33" i="1"/>
  <c r="AM33" i="1" s="1"/>
  <c r="L34" i="1"/>
  <c r="N34" i="1"/>
  <c r="Y34" i="1"/>
  <c r="Z34" i="1"/>
  <c r="AD34" i="1"/>
  <c r="AL34" i="1" s="1"/>
  <c r="AE34" i="1"/>
  <c r="AM34" i="1" s="1"/>
  <c r="L35" i="1"/>
  <c r="N35" i="1"/>
  <c r="Y35" i="1"/>
  <c r="Z35" i="1"/>
  <c r="AD35" i="1"/>
  <c r="AL35" i="1" s="1"/>
  <c r="AE35" i="1"/>
  <c r="AM35" i="1" s="1"/>
  <c r="L36" i="1"/>
  <c r="N36" i="1"/>
  <c r="Y36" i="1"/>
  <c r="Z36" i="1"/>
  <c r="AD36" i="1"/>
  <c r="AL36" i="1" s="1"/>
  <c r="AE36" i="1"/>
  <c r="AM36" i="1" s="1"/>
  <c r="L37" i="1"/>
  <c r="N37" i="1"/>
  <c r="Y37" i="1"/>
  <c r="Z37" i="1"/>
  <c r="AD37" i="1"/>
  <c r="AL37" i="1" s="1"/>
  <c r="AE37" i="1"/>
  <c r="AM37" i="1" s="1"/>
  <c r="L38" i="1"/>
  <c r="N38" i="1"/>
  <c r="Y38" i="1"/>
  <c r="Z38" i="1"/>
  <c r="AD38" i="1"/>
  <c r="AL38" i="1" s="1"/>
  <c r="AE38" i="1"/>
  <c r="AM38" i="1" s="1"/>
  <c r="L39" i="1"/>
  <c r="N39" i="1"/>
  <c r="Y39" i="1"/>
  <c r="Z39" i="1"/>
  <c r="AD39" i="1"/>
  <c r="AL39" i="1" s="1"/>
  <c r="AE39" i="1"/>
  <c r="AM39" i="1" s="1"/>
  <c r="L40" i="1"/>
  <c r="N40" i="1"/>
  <c r="Y40" i="1"/>
  <c r="Z40" i="1"/>
  <c r="AD40" i="1"/>
  <c r="AL40" i="1" s="1"/>
  <c r="AE40" i="1"/>
  <c r="AM40" i="1" s="1"/>
  <c r="L41" i="1"/>
  <c r="N41" i="1"/>
  <c r="Y41" i="1"/>
  <c r="Z41" i="1"/>
  <c r="AD41" i="1"/>
  <c r="AL41" i="1" s="1"/>
  <c r="AE41" i="1"/>
  <c r="AM41" i="1" s="1"/>
  <c r="L42" i="1"/>
  <c r="N42" i="1"/>
  <c r="Y42" i="1"/>
  <c r="Z42" i="1"/>
  <c r="AD42" i="1"/>
  <c r="AE42" i="1"/>
  <c r="AM42" i="1" s="1"/>
  <c r="L43" i="1"/>
  <c r="N43" i="1"/>
  <c r="Y43" i="1"/>
  <c r="Z43" i="1"/>
  <c r="AD43" i="1"/>
  <c r="AL43" i="1" s="1"/>
  <c r="AE43" i="1"/>
  <c r="AM43" i="1" s="1"/>
  <c r="L44" i="1"/>
  <c r="N44" i="1"/>
  <c r="Y44" i="1"/>
  <c r="Z44" i="1"/>
  <c r="AD44" i="1"/>
  <c r="AL44" i="1" s="1"/>
  <c r="AE44" i="1"/>
  <c r="AM44" i="1" s="1"/>
  <c r="L45" i="1"/>
  <c r="N45" i="1"/>
  <c r="Y45" i="1"/>
  <c r="Z45" i="1"/>
  <c r="AD45" i="1"/>
  <c r="AL45" i="1" s="1"/>
  <c r="AE45" i="1"/>
  <c r="AM45" i="1" s="1"/>
  <c r="L46" i="1"/>
  <c r="N46" i="1"/>
  <c r="Y46" i="1"/>
  <c r="Z46" i="1"/>
  <c r="AD46" i="1"/>
  <c r="AE46" i="1"/>
  <c r="AM46" i="1" s="1"/>
  <c r="L47" i="1"/>
  <c r="N47" i="1"/>
  <c r="Y47" i="1"/>
  <c r="Z47" i="1"/>
  <c r="AD47" i="1"/>
  <c r="AE47" i="1"/>
  <c r="AM47" i="1" s="1"/>
  <c r="L48" i="1"/>
  <c r="N48" i="1"/>
  <c r="Y48" i="1"/>
  <c r="Z48" i="1"/>
  <c r="AD48" i="1"/>
  <c r="AL48" i="1" s="1"/>
  <c r="AE48" i="1"/>
  <c r="AM48" i="1" s="1"/>
  <c r="L49" i="1"/>
  <c r="N49" i="1"/>
  <c r="N50" i="1"/>
  <c r="N51" i="1"/>
  <c r="N54" i="1"/>
  <c r="N15" i="1"/>
  <c r="Y49" i="1"/>
  <c r="Z49" i="1"/>
  <c r="AD49" i="1"/>
  <c r="AE49" i="1"/>
  <c r="AM49" i="1" s="1"/>
  <c r="L50" i="1"/>
  <c r="Y50" i="1"/>
  <c r="Z50" i="1"/>
  <c r="AD50" i="1"/>
  <c r="AL50" i="1" s="1"/>
  <c r="AE50" i="1"/>
  <c r="AM50" i="1" s="1"/>
  <c r="L51" i="1"/>
  <c r="Y51" i="1"/>
  <c r="Z51" i="1"/>
  <c r="AD51" i="1"/>
  <c r="AL51" i="1" s="1"/>
  <c r="AE51" i="1"/>
  <c r="AM51" i="1" s="1"/>
  <c r="L54" i="1"/>
  <c r="Y54" i="1"/>
  <c r="Z54" i="1"/>
  <c r="AD54" i="1"/>
  <c r="AL54" i="1" s="1"/>
  <c r="AE54" i="1"/>
  <c r="AM54" i="1" s="1"/>
  <c r="L15" i="1"/>
  <c r="Y15" i="1"/>
  <c r="Z15" i="1"/>
  <c r="AD15" i="1"/>
  <c r="AL15" i="1" s="1"/>
  <c r="AE15" i="1"/>
  <c r="AM15" i="1" s="1"/>
  <c r="L55" i="1"/>
  <c r="N55" i="1"/>
  <c r="Y55" i="1"/>
  <c r="Z55" i="1"/>
  <c r="Z57" i="1"/>
  <c r="AD55" i="1"/>
  <c r="AL55" i="1" s="1"/>
  <c r="AE55" i="1"/>
  <c r="AM55" i="1" s="1"/>
  <c r="L57" i="1"/>
  <c r="N57" i="1"/>
  <c r="Y57" i="1"/>
  <c r="AD57" i="1"/>
  <c r="AE57" i="1"/>
  <c r="AM57" i="1" s="1"/>
  <c r="AA55" i="1"/>
  <c r="AA39" i="1"/>
  <c r="AA49" i="1"/>
  <c r="AA48" i="1"/>
  <c r="AA45" i="1"/>
  <c r="AA44" i="1"/>
  <c r="AA41" i="1"/>
  <c r="AA37" i="1"/>
  <c r="AA36" i="1"/>
  <c r="AA43" i="1"/>
  <c r="AA46" i="1"/>
  <c r="AA47" i="1"/>
  <c r="AA8" i="1"/>
  <c r="AA10" i="1"/>
  <c r="AA11" i="1"/>
  <c r="AA13" i="1"/>
  <c r="AA14" i="1"/>
  <c r="AA16" i="1"/>
  <c r="AA32" i="1"/>
  <c r="AA20" i="1"/>
  <c r="AA21" i="1"/>
  <c r="AA22" i="1"/>
  <c r="AA23" i="1"/>
  <c r="AA24" i="1"/>
  <c r="AA25" i="1"/>
  <c r="AA26" i="1"/>
  <c r="AA28" i="1"/>
  <c r="AA30" i="1"/>
  <c r="AA33" i="1"/>
  <c r="AA34" i="1"/>
  <c r="AA38" i="1"/>
  <c r="AA50" i="1"/>
  <c r="AA51" i="1"/>
  <c r="AA54" i="1"/>
  <c r="AA15" i="1"/>
  <c r="J12" i="7"/>
  <c r="X12" i="7" s="1"/>
  <c r="T11" i="5"/>
  <c r="AJ17" i="5"/>
  <c r="AL34" i="4"/>
  <c r="J17" i="4"/>
  <c r="L17" i="4"/>
  <c r="AJ76" i="4"/>
  <c r="L26" i="3"/>
  <c r="AM24" i="3"/>
  <c r="AM22" i="3"/>
  <c r="AL26" i="3"/>
  <c r="AL70" i="4"/>
  <c r="AM33" i="4"/>
  <c r="J33" i="4"/>
  <c r="AA33" i="4" s="1"/>
  <c r="J22" i="4"/>
  <c r="J40" i="4"/>
  <c r="AA40" i="4" s="1"/>
  <c r="F71" i="4"/>
  <c r="J71" i="4" s="1"/>
  <c r="AL28" i="4"/>
  <c r="T10" i="4"/>
  <c r="AH5" i="3"/>
  <c r="AL52" i="1"/>
  <c r="L17" i="1"/>
  <c r="V10" i="4"/>
  <c r="AJ5" i="3"/>
  <c r="R34" i="3"/>
  <c r="T34" i="3"/>
  <c r="T76" i="4"/>
  <c r="V76" i="4"/>
  <c r="L6" i="3"/>
  <c r="T5" i="3"/>
  <c r="V5" i="3"/>
  <c r="T5" i="4"/>
  <c r="V5" i="4"/>
  <c r="X6" i="7"/>
  <c r="X7" i="7"/>
  <c r="R11" i="5"/>
  <c r="T4" i="5"/>
  <c r="R4" i="5"/>
  <c r="V79" i="4"/>
  <c r="Y19" i="8"/>
  <c r="AJ41" i="8"/>
  <c r="AK17" i="8"/>
  <c r="J41" i="8"/>
  <c r="Y41" i="8" s="1"/>
  <c r="Y12" i="8"/>
  <c r="Y15" i="8"/>
  <c r="AJ7" i="8"/>
  <c r="Y46" i="8"/>
  <c r="T79" i="4"/>
  <c r="R89" i="8"/>
  <c r="T89" i="8"/>
  <c r="Y11" i="8"/>
  <c r="Z90" i="8"/>
  <c r="AJ17" i="8"/>
  <c r="T7" i="3"/>
  <c r="R86" i="8"/>
  <c r="T86" i="8"/>
  <c r="R58" i="8"/>
  <c r="T58" i="8"/>
  <c r="V12" i="4"/>
  <c r="V7" i="3"/>
  <c r="T12" i="4"/>
  <c r="T5" i="1"/>
  <c r="V5" i="1"/>
  <c r="R60" i="8"/>
  <c r="T60" i="8"/>
  <c r="R63" i="8"/>
  <c r="T63" i="8"/>
  <c r="R32" i="8"/>
  <c r="T32" i="8"/>
  <c r="T5" i="7"/>
  <c r="R5" i="7"/>
  <c r="T6" i="8"/>
  <c r="R6" i="8"/>
  <c r="AI79" i="4" l="1"/>
  <c r="M5" i="7"/>
  <c r="I5" i="7"/>
  <c r="P5" i="7" s="1"/>
  <c r="Q10" i="4"/>
  <c r="D13" i="6"/>
  <c r="AA45" i="4"/>
  <c r="L40" i="4"/>
  <c r="AM40" i="4"/>
  <c r="AL40" i="4"/>
  <c r="F87" i="4"/>
  <c r="F42" i="4"/>
  <c r="J42" i="4" s="1"/>
  <c r="F73" i="4"/>
  <c r="M60" i="8"/>
  <c r="AJ24" i="8"/>
  <c r="AG60" i="8"/>
  <c r="AF86" i="8"/>
  <c r="M11" i="5"/>
  <c r="AL32" i="4"/>
  <c r="AM32" i="4"/>
  <c r="J32" i="4"/>
  <c r="AA32" i="4" s="1"/>
  <c r="AL67" i="4"/>
  <c r="AH79" i="4"/>
  <c r="AF60" i="8"/>
  <c r="J38" i="8"/>
  <c r="AG86" i="8"/>
  <c r="AJ40" i="8"/>
  <c r="AF32" i="8"/>
  <c r="M86" i="8"/>
  <c r="M69" i="8"/>
  <c r="AJ39" i="8"/>
  <c r="AL73" i="4"/>
  <c r="L14" i="4"/>
  <c r="J14" i="4"/>
  <c r="H76" i="4"/>
  <c r="Q76" i="4" s="1"/>
  <c r="O79" i="4"/>
  <c r="AM41" i="4"/>
  <c r="J41" i="4"/>
  <c r="AA41" i="4" s="1"/>
  <c r="L41" i="4"/>
  <c r="AL41" i="4"/>
  <c r="H79" i="4"/>
  <c r="D21" i="6" s="1"/>
  <c r="J16" i="8"/>
  <c r="Y16" i="8" s="1"/>
  <c r="AK16" i="8"/>
  <c r="AJ16" i="8"/>
  <c r="AL13" i="4"/>
  <c r="AL72" i="4"/>
  <c r="AJ46" i="8"/>
  <c r="AH86" i="8"/>
  <c r="AM72" i="4"/>
  <c r="I76" i="4"/>
  <c r="AJ79" i="4"/>
  <c r="AH60" i="8"/>
  <c r="AJ18" i="8"/>
  <c r="AM42" i="4"/>
  <c r="AL80" i="4"/>
  <c r="L79" i="4"/>
  <c r="AL8" i="4"/>
  <c r="AM46" i="4"/>
  <c r="AL42" i="4"/>
  <c r="J72" i="4"/>
  <c r="AA72" i="4" s="1"/>
  <c r="L42" i="4"/>
  <c r="AL46" i="4"/>
  <c r="Y44" i="8"/>
  <c r="J18" i="8"/>
  <c r="AK18" i="8"/>
  <c r="J46" i="4"/>
  <c r="AL48" i="4"/>
  <c r="AL36" i="4"/>
  <c r="AA57" i="1"/>
  <c r="O89" i="8"/>
  <c r="H58" i="8"/>
  <c r="D38" i="6" s="1"/>
  <c r="I58" i="8"/>
  <c r="I89" i="8"/>
  <c r="P89" i="8" s="1"/>
  <c r="Y17" i="8"/>
  <c r="AK90" i="8"/>
  <c r="AJ45" i="8"/>
  <c r="AJ54" i="8"/>
  <c r="AJ22" i="8"/>
  <c r="Y42" i="8"/>
  <c r="AJ59" i="8"/>
  <c r="AG69" i="8"/>
  <c r="M32" i="8"/>
  <c r="AG32" i="8"/>
  <c r="AF69" i="8"/>
  <c r="Y7" i="8"/>
  <c r="M6" i="8"/>
  <c r="AG6" i="8"/>
  <c r="AF6" i="8"/>
  <c r="AL49" i="1"/>
  <c r="AL31" i="1"/>
  <c r="AM31" i="1"/>
  <c r="L31" i="1"/>
  <c r="AF11" i="5"/>
  <c r="H4" i="5"/>
  <c r="AJ5" i="5"/>
  <c r="AJ12" i="5"/>
  <c r="AF5" i="7"/>
  <c r="AJ16" i="5"/>
  <c r="AH11" i="5"/>
  <c r="AJ15" i="5"/>
  <c r="AH5" i="7"/>
  <c r="X13" i="7"/>
  <c r="AG5" i="7" s="1"/>
  <c r="H5" i="7"/>
  <c r="O5" i="7" s="1"/>
  <c r="AJ13" i="7"/>
  <c r="AL33" i="4"/>
  <c r="AL53" i="4"/>
  <c r="AI12" i="4"/>
  <c r="Z83" i="4"/>
  <c r="O12" i="4"/>
  <c r="Y83" i="4"/>
  <c r="AH12" i="4"/>
  <c r="AL29" i="3"/>
  <c r="AA71" i="4"/>
  <c r="AA42" i="4"/>
  <c r="F43" i="4"/>
  <c r="AL50" i="4"/>
  <c r="L71" i="4"/>
  <c r="AH10" i="4"/>
  <c r="AL17" i="4"/>
  <c r="AA44" i="4"/>
  <c r="AA51" i="4"/>
  <c r="J48" i="4"/>
  <c r="AM7" i="4"/>
  <c r="AM8" i="4"/>
  <c r="AL71" i="4"/>
  <c r="AA17" i="4"/>
  <c r="AM48" i="4"/>
  <c r="L33" i="4"/>
  <c r="J8" i="4"/>
  <c r="L50" i="4"/>
  <c r="J26" i="4"/>
  <c r="L26" i="4"/>
  <c r="L48" i="4"/>
  <c r="F47" i="4"/>
  <c r="AA60" i="4"/>
  <c r="AM26" i="4"/>
  <c r="Q79" i="4"/>
  <c r="AM71" i="4"/>
  <c r="J50" i="4"/>
  <c r="AM50" i="4"/>
  <c r="X14" i="5"/>
  <c r="X12" i="5"/>
  <c r="H11" i="5"/>
  <c r="AJ18" i="5"/>
  <c r="AJ20" i="5"/>
  <c r="AF4" i="5"/>
  <c r="M4" i="5"/>
  <c r="AH4" i="5"/>
  <c r="AG4" i="5"/>
  <c r="I5" i="3"/>
  <c r="J5" i="3" s="1"/>
  <c r="AL24" i="3"/>
  <c r="Y37" i="3"/>
  <c r="AL27" i="3"/>
  <c r="AL13" i="3"/>
  <c r="AA26" i="3"/>
  <c r="AI7" i="3"/>
  <c r="L24" i="3"/>
  <c r="AL28" i="3"/>
  <c r="AL32" i="3"/>
  <c r="AA23" i="3"/>
  <c r="AA29" i="3"/>
  <c r="AL23" i="3"/>
  <c r="Z37" i="3"/>
  <c r="L23" i="3"/>
  <c r="O7" i="3"/>
  <c r="R5" i="3"/>
  <c r="AM23" i="3"/>
  <c r="AH7" i="3"/>
  <c r="Q5" i="3"/>
  <c r="AL22" i="3"/>
  <c r="AB11" i="3"/>
  <c r="AL20" i="3"/>
  <c r="AA9" i="1"/>
  <c r="AA27" i="1"/>
  <c r="AA42" i="1"/>
  <c r="Z59" i="1"/>
  <c r="O5" i="1"/>
  <c r="Y59" i="1"/>
  <c r="AA29" i="1"/>
  <c r="AL42" i="1"/>
  <c r="AL28" i="1"/>
  <c r="AL27" i="1"/>
  <c r="AL46" i="1"/>
  <c r="AL57" i="1"/>
  <c r="AI5" i="1"/>
  <c r="AA18" i="1"/>
  <c r="AA12" i="1"/>
  <c r="AA40" i="1"/>
  <c r="AH5" i="1"/>
  <c r="AL9" i="1"/>
  <c r="AM9" i="1"/>
  <c r="AA35" i="1"/>
  <c r="AL11" i="1"/>
  <c r="L9" i="1"/>
  <c r="L5" i="1" s="1"/>
  <c r="AL47" i="1"/>
  <c r="L73" i="4" l="1"/>
  <c r="J73" i="4"/>
  <c r="AA73" i="4" s="1"/>
  <c r="AM73" i="4"/>
  <c r="J76" i="4"/>
  <c r="D20" i="6"/>
  <c r="D23" i="6" s="1"/>
  <c r="R10" i="4"/>
  <c r="E13" i="6"/>
  <c r="J58" i="1"/>
  <c r="I60" i="8"/>
  <c r="E39" i="6" s="1"/>
  <c r="I79" i="4"/>
  <c r="J79" i="4" s="1"/>
  <c r="J82" i="4" s="1"/>
  <c r="O4" i="5"/>
  <c r="O32" i="8"/>
  <c r="H60" i="8"/>
  <c r="AH69" i="8"/>
  <c r="O6" i="8"/>
  <c r="R76" i="4"/>
  <c r="E20" i="6"/>
  <c r="I86" i="8"/>
  <c r="P32" i="8"/>
  <c r="AA46" i="4"/>
  <c r="Y18" i="8"/>
  <c r="AH6" i="8" s="1"/>
  <c r="P58" i="8"/>
  <c r="E38" i="6"/>
  <c r="AH32" i="8"/>
  <c r="H63" i="8"/>
  <c r="D40" i="6" s="1"/>
  <c r="I63" i="8"/>
  <c r="E40" i="6" s="1"/>
  <c r="J89" i="8"/>
  <c r="J58" i="8"/>
  <c r="O58" i="8"/>
  <c r="P60" i="8"/>
  <c r="AG11" i="5"/>
  <c r="J5" i="7"/>
  <c r="J14" i="7" s="1"/>
  <c r="J17" i="7" s="1"/>
  <c r="I21" i="7" s="1"/>
  <c r="J21" i="7" s="1"/>
  <c r="E25" i="6" s="1"/>
  <c r="AA50" i="4"/>
  <c r="AL43" i="4"/>
  <c r="L43" i="4"/>
  <c r="J43" i="4"/>
  <c r="AM43" i="4"/>
  <c r="AB26" i="4"/>
  <c r="AA8" i="4"/>
  <c r="AA48" i="4"/>
  <c r="AM47" i="4"/>
  <c r="AL47" i="4"/>
  <c r="J47" i="4"/>
  <c r="L47" i="4"/>
  <c r="I11" i="5"/>
  <c r="J11" i="5" s="1"/>
  <c r="O11" i="5"/>
  <c r="D17" i="6"/>
  <c r="D19" i="6" s="1"/>
  <c r="P4" i="5"/>
  <c r="AA31" i="3"/>
  <c r="L31" i="3"/>
  <c r="AM31" i="3"/>
  <c r="I34" i="3"/>
  <c r="V34" i="3" s="1"/>
  <c r="H34" i="3"/>
  <c r="D15" i="6" s="1"/>
  <c r="AL31" i="3"/>
  <c r="I5" i="1"/>
  <c r="H5" i="1"/>
  <c r="AJ5" i="1"/>
  <c r="O60" i="8" l="1"/>
  <c r="D39" i="6"/>
  <c r="F39" i="6" s="1"/>
  <c r="J10" i="4"/>
  <c r="R79" i="4"/>
  <c r="J60" i="8"/>
  <c r="E21" i="6"/>
  <c r="F21" i="6" s="1"/>
  <c r="E17" i="6"/>
  <c r="F38" i="6"/>
  <c r="J32" i="8"/>
  <c r="J56" i="8" s="1"/>
  <c r="O86" i="8"/>
  <c r="J86" i="8"/>
  <c r="J92" i="8" s="1"/>
  <c r="D35" i="6"/>
  <c r="P86" i="8"/>
  <c r="P69" i="8"/>
  <c r="L12" i="4"/>
  <c r="F9" i="4" s="1"/>
  <c r="H5" i="4" s="1"/>
  <c r="D12" i="6" s="1"/>
  <c r="Q12" i="4"/>
  <c r="P6" i="8"/>
  <c r="P63" i="8"/>
  <c r="E41" i="6"/>
  <c r="O63" i="8"/>
  <c r="J63" i="8"/>
  <c r="J4" i="5"/>
  <c r="J21" i="5" s="1"/>
  <c r="J23" i="7"/>
  <c r="J24" i="7" s="1"/>
  <c r="E26" i="6"/>
  <c r="F26" i="6" s="1"/>
  <c r="F25" i="6"/>
  <c r="AA47" i="4"/>
  <c r="AA43" i="4"/>
  <c r="AJ12" i="4" s="1"/>
  <c r="AJ5" i="4"/>
  <c r="E18" i="6"/>
  <c r="P11" i="5"/>
  <c r="F17" i="6"/>
  <c r="F13" i="6"/>
  <c r="AL30" i="3"/>
  <c r="AM30" i="3"/>
  <c r="H7" i="3"/>
  <c r="Q7" i="3" s="1"/>
  <c r="L30" i="3"/>
  <c r="L7" i="3" s="1"/>
  <c r="U34" i="3"/>
  <c r="J34" i="3"/>
  <c r="AA59" i="1"/>
  <c r="Q5" i="1"/>
  <c r="F20" i="6"/>
  <c r="R5" i="1"/>
  <c r="J5" i="1"/>
  <c r="J66" i="8" l="1"/>
  <c r="F23" i="6"/>
  <c r="D14" i="6"/>
  <c r="J6" i="8"/>
  <c r="J25" i="8" s="1"/>
  <c r="H2" i="8" s="1"/>
  <c r="H26" i="8"/>
  <c r="E23" i="6"/>
  <c r="E35" i="6"/>
  <c r="E42" i="6" s="1"/>
  <c r="J12" i="4"/>
  <c r="J9" i="4"/>
  <c r="I5" i="4" s="1"/>
  <c r="E12" i="6" s="1"/>
  <c r="J69" i="8"/>
  <c r="H67" i="8" s="1"/>
  <c r="O69" i="8"/>
  <c r="L9" i="4"/>
  <c r="D41" i="6"/>
  <c r="D42" i="6" s="1"/>
  <c r="F40" i="6"/>
  <c r="F41" i="6" s="1"/>
  <c r="Q5" i="4"/>
  <c r="AA83" i="4"/>
  <c r="F18" i="6"/>
  <c r="E19" i="6"/>
  <c r="F19" i="6" s="1"/>
  <c r="F15" i="6"/>
  <c r="I7" i="3"/>
  <c r="AA30" i="3"/>
  <c r="R12" i="4" l="1"/>
  <c r="E14" i="6"/>
  <c r="F34" i="6"/>
  <c r="F35" i="6" s="1"/>
  <c r="F12" i="6"/>
  <c r="J5" i="4"/>
  <c r="J74" i="4" s="1"/>
  <c r="J83" i="4" s="1"/>
  <c r="R5" i="4"/>
  <c r="J59" i="1"/>
  <c r="D16" i="6"/>
  <c r="AA37" i="3"/>
  <c r="AJ7" i="3"/>
  <c r="R7" i="3"/>
  <c r="J7" i="3"/>
  <c r="J36" i="3" s="1"/>
  <c r="J37" i="3" s="1"/>
  <c r="F42" i="6" l="1"/>
  <c r="E16" i="6"/>
  <c r="E27" i="6" s="1"/>
  <c r="D27" i="6"/>
  <c r="F14" i="6"/>
  <c r="F16" i="6" s="1"/>
  <c r="F44" i="6" l="1"/>
  <c r="F43" i="6"/>
  <c r="F24" i="6"/>
  <c r="F27" i="6"/>
  <c r="F28" i="6" l="1"/>
  <c r="F29" i="6" s="1"/>
</calcChain>
</file>

<file path=xl/sharedStrings.xml><?xml version="1.0" encoding="utf-8"?>
<sst xmlns="http://schemas.openxmlformats.org/spreadsheetml/2006/main" count="2203" uniqueCount="426">
  <si>
    <t>Název stavby:</t>
  </si>
  <si>
    <t>Úprava veřejných prostranství Boskovice</t>
  </si>
  <si>
    <t>Objednatel:</t>
  </si>
  <si>
    <t>Projektant:</t>
  </si>
  <si>
    <t>Lokalita:</t>
  </si>
  <si>
    <t>Zhotovitel:</t>
  </si>
  <si>
    <t>JKSO:</t>
  </si>
  <si>
    <t>Zpracoval:</t>
  </si>
  <si>
    <t>Montáž</t>
  </si>
  <si>
    <t>Poznámka:</t>
  </si>
  <si>
    <t>Ceny jsou přizpůsobeny nákladům obvyklých opatření ceníku AOPK</t>
  </si>
  <si>
    <t>Ceny ceníku RTS jsou redukovány na 75%</t>
  </si>
  <si>
    <t>Město Boskovice, Masarykovo náměstí 4/2
   Boskovice, 680 18</t>
  </si>
  <si>
    <t>Objekt</t>
  </si>
  <si>
    <t>Palackého, Růžové a Wolkerovo náměstí</t>
  </si>
  <si>
    <t>Ing. Jitka Vágnerová</t>
  </si>
  <si>
    <t>KÚ Boskovice</t>
  </si>
  <si>
    <t>UZNATELNÉ NÁKLADY</t>
  </si>
  <si>
    <t>Kód</t>
  </si>
  <si>
    <t>Zkrácený popis</t>
  </si>
  <si>
    <t>Náklady (Kč) - dodávka</t>
  </si>
  <si>
    <t>Náklady (Kč) - Montáž</t>
  </si>
  <si>
    <t>Náklady (Kč) - celkem</t>
  </si>
  <si>
    <t>Sadovnické úpravy</t>
  </si>
  <si>
    <t>11</t>
  </si>
  <si>
    <t>Přípravné a přidružené práce</t>
  </si>
  <si>
    <t>12</t>
  </si>
  <si>
    <t>Odkopávky a prokopávky</t>
  </si>
  <si>
    <t>18</t>
  </si>
  <si>
    <t>Povrchové úpravy terénu</t>
  </si>
  <si>
    <t>M46</t>
  </si>
  <si>
    <t>Zemní práce při montážích</t>
  </si>
  <si>
    <t>Celkem sadovnické úpravy</t>
  </si>
  <si>
    <t>Komunikace</t>
  </si>
  <si>
    <t>56</t>
  </si>
  <si>
    <t>Podkladní vrstvy komunikací a zpevněných ploch</t>
  </si>
  <si>
    <t>91</t>
  </si>
  <si>
    <t>Doplňující konstrukce a práce na pozemních komunikacích a zpevněných plochách</t>
  </si>
  <si>
    <t>Celkem zpevněné plochy</t>
  </si>
  <si>
    <t>Ošetření dřevin</t>
  </si>
  <si>
    <t>Celkem kácení a ošetření dřevin</t>
  </si>
  <si>
    <t>Údržba ve 3 letech</t>
  </si>
  <si>
    <t>Následná údržba ve třech letech</t>
  </si>
  <si>
    <t>Celkem péče</t>
  </si>
  <si>
    <t>Celkem UZNATELNÉ NÁKLADY bez DPH:</t>
  </si>
  <si>
    <t>DPH 21 %</t>
  </si>
  <si>
    <t>Celkem UZNATELNÉ NÁKLADY VČETNĚ DPH:</t>
  </si>
  <si>
    <t>NEUZNATELNÉ NÁKLADY</t>
  </si>
  <si>
    <t>Celkem NEUZNATELNÉ NÁKLADY bez DPH:</t>
  </si>
  <si>
    <t>Celkem NEUZNATELNÉ NÁKLADY VČETNĚ DPH:</t>
  </si>
  <si>
    <t>Č</t>
  </si>
  <si>
    <t>Zkrácený popis / Varianta</t>
  </si>
  <si>
    <t>M.j.</t>
  </si>
  <si>
    <t>Množství</t>
  </si>
  <si>
    <t>Jednot.</t>
  </si>
  <si>
    <t>Náklady (Kč)</t>
  </si>
  <si>
    <t>Hmotnost (t)</t>
  </si>
  <si>
    <t xml:space="preserve"> </t>
  </si>
  <si>
    <t>Rozměry</t>
  </si>
  <si>
    <t>cena (Kč)</t>
  </si>
  <si>
    <t>Dodávka</t>
  </si>
  <si>
    <t>Celkem</t>
  </si>
  <si>
    <t>Přesuny</t>
  </si>
  <si>
    <t>Typ skupiny</t>
  </si>
  <si>
    <t>HSV mat</t>
  </si>
  <si>
    <t>HSV prac</t>
  </si>
  <si>
    <t>PSV mat</t>
  </si>
  <si>
    <t>PSV prac</t>
  </si>
  <si>
    <t>Mont mat</t>
  </si>
  <si>
    <t>Mont prac</t>
  </si>
  <si>
    <t>Ostatní mat.</t>
  </si>
  <si>
    <t>SO01</t>
  </si>
  <si>
    <t>HS</t>
  </si>
  <si>
    <t>1</t>
  </si>
  <si>
    <t>m2</t>
  </si>
  <si>
    <t>11_</t>
  </si>
  <si>
    <t>1_</t>
  </si>
  <si>
    <t>_</t>
  </si>
  <si>
    <t>2</t>
  </si>
  <si>
    <t>112201101R00</t>
  </si>
  <si>
    <t>Odstranění pařezů pod úrovní, o průměru 10 - 30 cm, vč. Likvidace hmoty</t>
  </si>
  <si>
    <t>kus</t>
  </si>
  <si>
    <t>4</t>
  </si>
  <si>
    <t>121100001RA0</t>
  </si>
  <si>
    <t>m3</t>
  </si>
  <si>
    <t>3</t>
  </si>
  <si>
    <t>12_</t>
  </si>
  <si>
    <t>5</t>
  </si>
  <si>
    <t>t</t>
  </si>
  <si>
    <t>6</t>
  </si>
  <si>
    <t>184802111R00</t>
  </si>
  <si>
    <t>Chem. odplevelení před založ. postřikem, v rovině</t>
  </si>
  <si>
    <t>18_</t>
  </si>
  <si>
    <t>7</t>
  </si>
  <si>
    <t>Totální herbicid, dávkování dle výrobce</t>
  </si>
  <si>
    <t>l</t>
  </si>
  <si>
    <t>8</t>
  </si>
  <si>
    <t>181300010RA0</t>
  </si>
  <si>
    <t>9</t>
  </si>
  <si>
    <t>103715001</t>
  </si>
  <si>
    <t>Substrát zahradnický, zakládací</t>
  </si>
  <si>
    <t>0</t>
  </si>
  <si>
    <t>10</t>
  </si>
  <si>
    <t>103715002</t>
  </si>
  <si>
    <t>Substrát/zemina vhodná pro trávníky</t>
  </si>
  <si>
    <t>183403114R00</t>
  </si>
  <si>
    <t>183403152R00</t>
  </si>
  <si>
    <t>13</t>
  </si>
  <si>
    <t>183403153R00</t>
  </si>
  <si>
    <t>Obdělání půdy hrabáním, v rovině</t>
  </si>
  <si>
    <t>14</t>
  </si>
  <si>
    <t>15</t>
  </si>
  <si>
    <t>183403111R00</t>
  </si>
  <si>
    <t>Obdělání půdy nakopáním do 10 cm v rovině</t>
  </si>
  <si>
    <t>16</t>
  </si>
  <si>
    <t>17</t>
  </si>
  <si>
    <t>180400020RA0</t>
  </si>
  <si>
    <t>Založení trávníku parkového, rovina, dodání osiva</t>
  </si>
  <si>
    <t xml:space="preserve">Založení trávníku v rovině nebo ve svahu  do 1 : 5, doporučená spotřeba 3 dkg/m2. V položce jsou zakalkulovány náklady na vypletí, první pokosení, naložení odpadu a odvezení do 20 km, se složením. </t>
  </si>
  <si>
    <t>19</t>
  </si>
  <si>
    <t>183101221R00</t>
  </si>
  <si>
    <t>20</t>
  </si>
  <si>
    <t>10371500</t>
  </si>
  <si>
    <t>Substrát pro výsadbu stromů</t>
  </si>
  <si>
    <t>21</t>
  </si>
  <si>
    <t>184102116R00</t>
  </si>
  <si>
    <t>Výsadba dřevin s balem D do 80 cm, v rovině</t>
  </si>
  <si>
    <t>22</t>
  </si>
  <si>
    <t>0260558VD</t>
  </si>
  <si>
    <t>Gleditsia tracanthos ´Skyline´, alejový strom, OK 12-14, ZB</t>
  </si>
  <si>
    <t>ks</t>
  </si>
  <si>
    <t>23</t>
  </si>
  <si>
    <t>0265887VD</t>
  </si>
  <si>
    <t>Prunus serrulata ´Kanzan´ , Alejový strom. OK 12-14, ZB</t>
  </si>
  <si>
    <t>24</t>
  </si>
  <si>
    <t>184202112R00</t>
  </si>
  <si>
    <t>Ukotvení dřeviny 3 kůly D do 10 cm, dl. do 3 m</t>
  </si>
  <si>
    <t>25</t>
  </si>
  <si>
    <t>70836140.A</t>
  </si>
  <si>
    <t>Popruh vázací jednovrstvý polypropylenový šíře 40 mm</t>
  </si>
  <si>
    <t>m</t>
  </si>
  <si>
    <t>26</t>
  </si>
  <si>
    <t>60850030</t>
  </si>
  <si>
    <t>Příčka spojovací ke kůlům impregnovaná 50 x 8 cm</t>
  </si>
  <si>
    <t>27</t>
  </si>
  <si>
    <t>60850015</t>
  </si>
  <si>
    <t>Kůl vyvazovací impregnovaný 250 x 6 cm</t>
  </si>
  <si>
    <t>28</t>
  </si>
  <si>
    <t>184501111R00</t>
  </si>
  <si>
    <t>Zhotovení obalu kmene z rákosové rohože, 1vrstva, v rovině</t>
  </si>
  <si>
    <t>29</t>
  </si>
  <si>
    <t>05540001</t>
  </si>
  <si>
    <t>Rohož rákosová, šířka 2 m</t>
  </si>
  <si>
    <t>30</t>
  </si>
  <si>
    <t>184921093R00</t>
  </si>
  <si>
    <t>Mulčování rostlin tl. do 0,1 m rovina - výsadbové jámy stromů - 0,8 m2 na strom</t>
  </si>
  <si>
    <t>31</t>
  </si>
  <si>
    <t>10391100</t>
  </si>
  <si>
    <t>32</t>
  </si>
  <si>
    <t>183101111R00</t>
  </si>
  <si>
    <t>Hloub. jamek bez výměny půdy do 0,01 m3, svah 1:5 trvalky</t>
  </si>
  <si>
    <t>33</t>
  </si>
  <si>
    <t>Hloub. jamek bez výměny půdy do 0,01 m3, svah 1:5-keře</t>
  </si>
  <si>
    <t>34</t>
  </si>
  <si>
    <t>183101113R00</t>
  </si>
  <si>
    <t>Hloub. jamek bez výměny půdy do 0,05 m3, svah 1:5 - trávy</t>
  </si>
  <si>
    <t>35</t>
  </si>
  <si>
    <t>Hloub. jamek bez výměny půdy do 0,05 m3, svah 1:5 - keře</t>
  </si>
  <si>
    <t>36</t>
  </si>
  <si>
    <t>183204115R00</t>
  </si>
  <si>
    <t>Výsadba květin hrnkovaných, květináč do 12 cm</t>
  </si>
  <si>
    <t>37</t>
  </si>
  <si>
    <t>Hemerocallis "STRAWBERRY CANDY", kontejner12 cm</t>
  </si>
  <si>
    <t>38</t>
  </si>
  <si>
    <t>Bergenia ´Pink Dragonyfly´,  kontejner k9</t>
  </si>
  <si>
    <t>39</t>
  </si>
  <si>
    <t>Nepeta Racemosa Walkers Low , kontejner 10 cm,</t>
  </si>
  <si>
    <t>40</t>
  </si>
  <si>
    <t>Pennisetum alopecuroides, kontejner 10 cm,</t>
  </si>
  <si>
    <t>41</t>
  </si>
  <si>
    <t>183204116R00</t>
  </si>
  <si>
    <t>Výsadba květin hrnkovaných, květináč do 25 cm</t>
  </si>
  <si>
    <t>42</t>
  </si>
  <si>
    <t>Miscanthus sin. ´Kleine Fontäne´, kontejner 1,5 l</t>
  </si>
  <si>
    <t>43</t>
  </si>
  <si>
    <t>184102110R00</t>
  </si>
  <si>
    <t>Výsadba dřevin s balem D do 10 cm, v rovině</t>
  </si>
  <si>
    <t>44</t>
  </si>
  <si>
    <t>Lavandula angustifolia "FELICE", kontejner k 9</t>
  </si>
  <si>
    <t>45</t>
  </si>
  <si>
    <t>Vinca minor, kontejner k 9</t>
  </si>
  <si>
    <t>46</t>
  </si>
  <si>
    <t>184102112R00</t>
  </si>
  <si>
    <t>Výsadba dřevin s balem D do 30 cm, v rovině</t>
  </si>
  <si>
    <t>47</t>
  </si>
  <si>
    <t>Caryopteris x clandonensis 'Inoveris' Grand Bleu®, 30-40, ko 1,5l</t>
  </si>
  <si>
    <t>48</t>
  </si>
  <si>
    <t>Deutzia x hybrida Strawberry Fields,30-40, ko 1,5l</t>
  </si>
  <si>
    <t>49</t>
  </si>
  <si>
    <t>Forsythia x intermedia ´Maluch´, 30-40, ko 1,5l</t>
  </si>
  <si>
    <t>50</t>
  </si>
  <si>
    <t>Hypericum ´Hidcote´, 30-40, ko 1,5l</t>
  </si>
  <si>
    <t>51</t>
  </si>
  <si>
    <t>Lonicera nitida ´Elegant´, 30-40, ko 1,5l</t>
  </si>
  <si>
    <t>52</t>
  </si>
  <si>
    <t>Philadelphus 'Belle étoile' , 40-60, ko 1,5l</t>
  </si>
  <si>
    <t>53</t>
  </si>
  <si>
    <t>Potentilla fruticosa Pink Beauty, 30-40, ko 1,5l</t>
  </si>
  <si>
    <t>54</t>
  </si>
  <si>
    <t>Růže folibunda bíle kvetoucí, 30-40, ko 1,5l</t>
  </si>
  <si>
    <t>55</t>
  </si>
  <si>
    <t>Růže folibunda tmavorůžově kvetoucí, 30-40, ko 1,5l</t>
  </si>
  <si>
    <t>Růže folibunda růžově kvetoucí, 30-40, ko 1,5l</t>
  </si>
  <si>
    <t>57</t>
  </si>
  <si>
    <t>Rosa rugosa ´Dagmar Hastrub´, 30-40, ko 1,5l</t>
  </si>
  <si>
    <t>58</t>
  </si>
  <si>
    <t>Spiraea ´Anthony Waterer´, 30-40, ko 1,5l</t>
  </si>
  <si>
    <t>59</t>
  </si>
  <si>
    <t>Symphoricarpos x chenaultii 'Hancock' , 30-40, ko 1,5l</t>
  </si>
  <si>
    <t>60</t>
  </si>
  <si>
    <t>Taxus baccata, 40-60, ko 2l</t>
  </si>
  <si>
    <t>61</t>
  </si>
  <si>
    <t>Taxus baccata ´Repandens´, 30-40, ko 1,5l</t>
  </si>
  <si>
    <t>62</t>
  </si>
  <si>
    <t>185802114R00</t>
  </si>
  <si>
    <t>Hnojení umělým hnojivem k rostlinám v rovině - rozmícháním v substrátu</t>
  </si>
  <si>
    <t>63</t>
  </si>
  <si>
    <t>10391505.A</t>
  </si>
  <si>
    <t>Fyzikální půdní kondicionér</t>
  </si>
  <si>
    <t>kg</t>
  </si>
  <si>
    <t>64</t>
  </si>
  <si>
    <t>65</t>
  </si>
  <si>
    <t>66</t>
  </si>
  <si>
    <t>181101102R00</t>
  </si>
  <si>
    <t>Úprava pláně v zářezech v hor. 1-4, se zhutněním</t>
  </si>
  <si>
    <t>67</t>
  </si>
  <si>
    <t>183403261R00</t>
  </si>
  <si>
    <t>Obdělání půdy válením</t>
  </si>
  <si>
    <t>68</t>
  </si>
  <si>
    <t>Skupinová zálivka keřů</t>
  </si>
  <si>
    <t>69</t>
  </si>
  <si>
    <t>Zálivka jamky 1x1x1 m</t>
  </si>
  <si>
    <t>MP</t>
  </si>
  <si>
    <t>70</t>
  </si>
  <si>
    <t>460600001RT8</t>
  </si>
  <si>
    <t>M46_</t>
  </si>
  <si>
    <t>9_</t>
  </si>
  <si>
    <t>Celkem SO 01 sadovnické úpravy</t>
  </si>
  <si>
    <t>SO02</t>
  </si>
  <si>
    <t>Zpevněné plochy</t>
  </si>
  <si>
    <t>122201101R00</t>
  </si>
  <si>
    <t>Odkopávky nezapažené v hor. 3 do 100 m3 - plochy pod lavičky, včetně naložení a odvozu přebytečné zeminy na skládku</t>
  </si>
  <si>
    <t>564851111R00</t>
  </si>
  <si>
    <t>Podklad ze štěrkodrti po zhutnění tloušťky 15 cm, včetně materiálu</t>
  </si>
  <si>
    <t>56_</t>
  </si>
  <si>
    <t>5_</t>
  </si>
  <si>
    <t>564932111R00</t>
  </si>
  <si>
    <t>Kryt z mechanicky zpevněného kameniva tl. 10 cm, včetně materiálu</t>
  </si>
  <si>
    <t>916561111RT7</t>
  </si>
  <si>
    <t>Osazení záhon.obrubníků do lože z C 12/15 s opěrou</t>
  </si>
  <si>
    <t>91_</t>
  </si>
  <si>
    <t>včetně obrubníku   100/5/20 cm</t>
  </si>
  <si>
    <t>Celkem SO 02Zpevněné plochy</t>
  </si>
  <si>
    <t>Celkem:</t>
  </si>
  <si>
    <t>Totální herbicid, dávkování dle výrobce, předpoklad 6l/ha</t>
  </si>
  <si>
    <t>Obdělání půdy kultivátorováním v rovině</t>
  </si>
  <si>
    <t>Obdělání půdy hrabáním, v rovině - 2. opakování</t>
  </si>
  <si>
    <t>Chem. odplevelení před založ. postřikem, v rovině - 2 opakování</t>
  </si>
  <si>
    <t>Mulčování rostlin tl. do 0,1 m rovina</t>
  </si>
  <si>
    <t>Kůra mulčovací drcená</t>
  </si>
  <si>
    <t>Anemone ´Andrea Atkinson´, kontejner k9</t>
  </si>
  <si>
    <t>Carex morrowii, kontejner k9</t>
  </si>
  <si>
    <t>Narcissus poeticus</t>
  </si>
  <si>
    <t>Miscanthus sin. ´Gracillimus´, kontejner ´2 l</t>
  </si>
  <si>
    <t>Obdělání půdy vláčením, v rovině</t>
  </si>
  <si>
    <t>Mulčování rostlin tl. do 0,1 m rovina - plošné výsadby keřů</t>
  </si>
  <si>
    <t>Zpevněné plochy - Wolkerovo nám. - nad 10 % celkových uznatelných nákladů</t>
  </si>
  <si>
    <t>Podklad ze štěrkodrti po zhutnění tloušťky 10 cm, včetně materiálu</t>
  </si>
  <si>
    <t>916261111RT1</t>
  </si>
  <si>
    <t>Osazení obruby z kostek drobných, s boční opěrou (včetně příčnýchpásů ve svahu)</t>
  </si>
  <si>
    <t>RTS II / 2014</t>
  </si>
  <si>
    <t>včetně kostek drobných 12 cm, lože C 12/15</t>
  </si>
  <si>
    <t>Celkem SO 02 mobiliář, zpevněné plochy</t>
  </si>
  <si>
    <t>9982313111R00</t>
  </si>
  <si>
    <t>Přesun hmot pro sadovnické a krajinářské účely</t>
  </si>
  <si>
    <t>185802112R00</t>
  </si>
  <si>
    <t>Hnojení kompostem  v rovině - se zapravením do svrchní vrstvy půdy</t>
  </si>
  <si>
    <t>10311100</t>
  </si>
  <si>
    <t>Kompost vyzrálý, na hnojení - 5 kg/m2</t>
  </si>
  <si>
    <t>Založení trávníku v rovině nebo ve svahu  do 1 : 5, doporučená spotřeba 3 dkg/m2. V položce jsou zakalkulovány náklady na první pokosení, naložení odpadu a odvezení do 20 km, se složením.</t>
  </si>
  <si>
    <t>Taxus baccata, 40 - 60 cm, ko 2l</t>
  </si>
  <si>
    <t>Hydrangea arborescens ´Incrediball´, Ko 2l</t>
  </si>
  <si>
    <t>Buxus sempervierens, 40 - 60 cm, Ko 2l</t>
  </si>
  <si>
    <t>Naložení a odvoz zeminy a odpadu, vč. Poplatku za skládkování</t>
  </si>
  <si>
    <t>113107113R00</t>
  </si>
  <si>
    <t>Odstranění podkladu z kameniva těženého - tl. 30 cm, včetně naložení na dopravní prostředek a odvozu do 10 km</t>
  </si>
  <si>
    <t>113204111R00</t>
  </si>
  <si>
    <t>Vytrhání obrub záhonových, včetně dosypání jam výkopovou zeminou z výkopů pro dlažby, naložení suti na dopravní prostředek a odvozu do 10 km</t>
  </si>
  <si>
    <t>111104211R00</t>
  </si>
  <si>
    <t>Pokosení trávníku parkov. svah do 1:5, odvoz 20 km - 2 opakování</t>
  </si>
  <si>
    <t>Poplatek za skládku zeminy a stavební suti</t>
  </si>
  <si>
    <t>Rozprostření ornice v rovině tloušťka do 15 cm - rozprostření substrátu a sejmuté ornice</t>
  </si>
  <si>
    <t>180401211R00</t>
  </si>
  <si>
    <t>Založení trávníku lučního výsevem v rovině</t>
  </si>
  <si>
    <t>0051234VD</t>
  </si>
  <si>
    <t>Trávobylinná směs, složení viz PD</t>
  </si>
  <si>
    <t>Mulčování rostlin tl. do 0,1 m rovina - keře</t>
  </si>
  <si>
    <t>Štěpka dřevní pro mulčování - keře</t>
  </si>
  <si>
    <t>Mulčování rostlin tl. do 0,1 m rovina - stromové mísy (24 ks, r0,5)</t>
  </si>
  <si>
    <t>Štěpka dřevní pro mulčování - stromové mísy</t>
  </si>
  <si>
    <t>183101115R00</t>
  </si>
  <si>
    <t>Hloub. jamek s výměnou půdy na 50% od 0,125 do 0,4 m3,rovina a svah 1:5</t>
  </si>
  <si>
    <t>Acer pseudoplatanus ´Atropurpureum´, vk 3xp, OK 12-14, ZB</t>
  </si>
  <si>
    <t>Amelanchier laevis ´Ballerina´, 3xp, 175 - 200, ZB, soliterní víceklmen</t>
  </si>
  <si>
    <t>Malus ´Rted Sentinel´, alejový strom, OK 12-14, ZB</t>
  </si>
  <si>
    <t>Carpinus betulus ´Lucas, vk 3xp. OK 12-14, ZB</t>
  </si>
  <si>
    <t>Robinia hispida ´Rosea´3 xp, alejový strom, OK 12-14, ZB</t>
  </si>
  <si>
    <t>Tilia cordata vk 3xp. OK 12-14, ZB</t>
  </si>
  <si>
    <t>Buxus semperierens, 30-40, ko 1,5l</t>
  </si>
  <si>
    <t>Cornus alba ´Ellegantissima´, 30-40, ko 1,5l</t>
  </si>
  <si>
    <t>Forsythia intermedia, 30-40, ko 1,5l</t>
  </si>
  <si>
    <t>Kolkwitzia amabilis, 30-40, ko 1,5l</t>
  </si>
  <si>
    <t>Philadelphus 'coronarius, 30-40, ko 1,5l</t>
  </si>
  <si>
    <t>Physocarpus opulifolius ´Diabolo´, 30-40, ko 1,5l</t>
  </si>
  <si>
    <t>Potentilla fruticosa ´Red Ace´, 30-40, ko 1,5l</t>
  </si>
  <si>
    <t>Rosa hugonis, 30-40, ko 1,5l</t>
  </si>
  <si>
    <t>Rosa ´Paris 2000´, 30-40, ko 1,5l</t>
  </si>
  <si>
    <t>Rosa ´Lovely Fairy´, 30-40, ko 1,5l</t>
  </si>
  <si>
    <t>Rosa ´Yellow Fairy´, 30-40, ko 1,5l</t>
  </si>
  <si>
    <t>Spiraea cinerea ´Grefsheim´, 30-40, ko 1,5l</t>
  </si>
  <si>
    <t>Viburnum ´Pragnese´, 40-60, ko 1,5l</t>
  </si>
  <si>
    <t>Weigela ´Bristol Ruby´, 30-40, ko 1,5l</t>
  </si>
  <si>
    <t>Syringa Charles Joly, ko 2l, 40 - 60</t>
  </si>
  <si>
    <t>Rosa rubrifolia, ko 2l, 40 - 60</t>
  </si>
  <si>
    <t>Rosa ´Kir Royal´, ko 2l, 30 - 40 cm</t>
  </si>
  <si>
    <t>Jasminum nudiflorum, ko 2l, 30 - 40 cm</t>
  </si>
  <si>
    <t xml:space="preserve">Skupinová zálivka keřů </t>
  </si>
  <si>
    <t>Sejmutí ornice, (316x0,25) - výkopy pro cesty</t>
  </si>
  <si>
    <t>Podklad ze štěrkodrti po zhutnění tloušťky 10 cm, včetně materiálu - zkráceno o 76 m</t>
  </si>
  <si>
    <t>Kryt z mechanicky zpevněného kameniva tl. 10 cm, včetně materiálu - zkráceno o 76 m</t>
  </si>
  <si>
    <t>111212111R00</t>
  </si>
  <si>
    <t>Odstranění nevhod. dřevin výšky do 1m, svah do 1:5, včetně kořenů</t>
  </si>
  <si>
    <t>112100010RA0</t>
  </si>
  <si>
    <t>112100011RA0</t>
  </si>
  <si>
    <t>112100012RA0</t>
  </si>
  <si>
    <t>112100013RA0</t>
  </si>
  <si>
    <t>112100101RA0</t>
  </si>
  <si>
    <t>Odstranění pařezů10-20 cm,odklizení,úprava terénu</t>
  </si>
  <si>
    <t>Odstranění pařezů 20-30 cm,odklizení,úprava terénu</t>
  </si>
  <si>
    <t>112100102RA0</t>
  </si>
  <si>
    <t>Odstranění pařezů 30-40 cm,odklizení,úprava terénu</t>
  </si>
  <si>
    <t>112100103RA0</t>
  </si>
  <si>
    <t>Odstranění pařezů 40-50 cm,odklizení,úprava terénu</t>
  </si>
  <si>
    <t>Odstranění pařezů60 - 60 cm,odklizení,úprava terénu</t>
  </si>
  <si>
    <t>Ošetření stromů</t>
  </si>
  <si>
    <t>Zdravotní řez - plocha koruny 51 -  100 m2</t>
  </si>
  <si>
    <t>Zdravotní řez, plocha koruny 101 - 200 m2</t>
  </si>
  <si>
    <t>Zdravotní řez - plocha koruny 201 - 300 m2</t>
  </si>
  <si>
    <t>Odstranění výmladků</t>
  </si>
  <si>
    <t>Obvodová redukce 101 - 200 m2</t>
  </si>
  <si>
    <t>Obvodová redukce 201 - 300 m2</t>
  </si>
  <si>
    <t>Výchovný řez - alejové stromy 6 - 9 m</t>
  </si>
  <si>
    <t>Vazba dynamická vč. Instalace</t>
  </si>
  <si>
    <t>Vazba dynamická vč. Instalace - výměna stávající (životnost)</t>
  </si>
  <si>
    <t>Kácení je včetně likvidace dřevní hmoty štěpkováním a naložení kmenů a větví na dopravní prostředek</t>
  </si>
  <si>
    <t>Odstranění pařezů je včetně likvidace odpaduzasypání jam, urovnání, osetí travní směsí</t>
  </si>
  <si>
    <t>Ošetření dřevin je včetně likvidace odpadu</t>
  </si>
  <si>
    <t>1. rok</t>
  </si>
  <si>
    <t xml:space="preserve">Výchovný řez stromů </t>
  </si>
  <si>
    <t>Řez živých plotů o výšce do 0,8m</t>
  </si>
  <si>
    <t>Ošetření stromů - vypletí, nakypření,2x28</t>
  </si>
  <si>
    <t>Oprava kotvení</t>
  </si>
  <si>
    <t>Doplnění mulče, vč. Materiálu</t>
  </si>
  <si>
    <t>M2</t>
  </si>
  <si>
    <t>Skupinová zálivka keřů (5x)</t>
  </si>
  <si>
    <t>Zálivka jamky 1x1x1 m (5x)</t>
  </si>
  <si>
    <t>Celkem 1. rok</t>
  </si>
  <si>
    <t>Péče po tři roky - 3x 1 rok</t>
  </si>
  <si>
    <t>Odstranění obalu kmene a kotvení stromů 3. rok po výsadbě, vč. Likvidace odpadu</t>
  </si>
  <si>
    <t>Celkem péče ve třech letech po výsadbě bez DPH</t>
  </si>
  <si>
    <t>Celkem náklady na údržbu vč. DPH</t>
  </si>
  <si>
    <t>Kácení stromů -volné 20-30 cm, naložení a odvoz do 1 km</t>
  </si>
  <si>
    <t>Kácení stromů -volné do 20 cm, naložení a odvoz do 1 km</t>
  </si>
  <si>
    <t>Kácení stromů 30-40 cm - postupné, naložení a odvoz do 1 km</t>
  </si>
  <si>
    <t>Kácení stromů 40-50 cm - postupné, naložení a odvoz do 1 km</t>
  </si>
  <si>
    <t>Kácení stromů50-60 cm - postupné, naložení a odvoz do 1 km</t>
  </si>
  <si>
    <t>v neuznatelných výdajích</t>
  </si>
  <si>
    <t>Založení trávníku parkového, rovina, včetně dodání osiva</t>
  </si>
  <si>
    <t>Ošetření keřů - vypletí, nakypření, řez (1445 m2 X 2)</t>
  </si>
  <si>
    <t>Ošetření rostlin (48 stromů a 1445 m2 keřů)</t>
  </si>
  <si>
    <t>Chem. odplevelení před založ. postřikem, v rovině - zkráceno o 60 m2(trvalky, růže)</t>
  </si>
  <si>
    <t>Kompost vyzrálý přesátý vhodný k vylepšení zeminy</t>
  </si>
  <si>
    <t xml:space="preserve">Totální herbicid, dávkování dle výrobce </t>
  </si>
  <si>
    <t>Růžové náměstí - neuznatelné výdaje</t>
  </si>
  <si>
    <t>18580-2112</t>
  </si>
  <si>
    <t>Plošné hnojení půdy kompostem vč. rozprostření  (120t/ha) - 2118,31m2</t>
  </si>
  <si>
    <t xml:space="preserve">Obdělání půdy kultivátorováním v rovině </t>
  </si>
  <si>
    <t xml:space="preserve">Hloub. jamek s výměnou 50% půdy 0,4 - 1 m3 </t>
  </si>
  <si>
    <t xml:space="preserve">Chem. odplevelení před založ. postřikem, v rovině </t>
  </si>
  <si>
    <t xml:space="preserve">Kůra mulčovací </t>
  </si>
  <si>
    <t xml:space="preserve">Mulčování rostlin tl. do 0,1 m rovina - plošné výsadby keřů </t>
  </si>
  <si>
    <t>99823-1311</t>
  </si>
  <si>
    <t xml:space="preserve">Obdělání půdy hrabáním, v rovině </t>
  </si>
  <si>
    <t xml:space="preserve">Chem. odplevelení před založ. postřikem, v rovině - 2 opakování </t>
  </si>
  <si>
    <t xml:space="preserve">Kůra mulčovací drcená </t>
  </si>
  <si>
    <t xml:space="preserve">Mulčování rostlin tl. do 0,1 m rovina </t>
  </si>
  <si>
    <t>Kácení a ošetřeníDVP</t>
  </si>
  <si>
    <t>Wolkerovo náměstí - neuznatelné výdaje</t>
  </si>
  <si>
    <t>Odstranění pařezú po kácení dřevin</t>
  </si>
  <si>
    <t>Celkem odstranění pařezů</t>
  </si>
  <si>
    <t>Palackého náměstí - neuznatelné výdaje</t>
  </si>
  <si>
    <t>Rekapitulace:</t>
  </si>
  <si>
    <t>Příprava půdy</t>
  </si>
  <si>
    <t>Založení trávníku</t>
  </si>
  <si>
    <t>Výsadba stromu 12-14</t>
  </si>
  <si>
    <t>výsadba keřů</t>
  </si>
  <si>
    <t xml:space="preserve">m2 </t>
  </si>
  <si>
    <t>Plocha keřových záhonů</t>
  </si>
  <si>
    <t>Zpracováno dne:13.5.2016</t>
  </si>
  <si>
    <t>Slepý rozpočet - Rekapitulace</t>
  </si>
  <si>
    <t xml:space="preserve"> Palackého náměstí </t>
  </si>
  <si>
    <t xml:space="preserve"> Růžové náměstí </t>
  </si>
  <si>
    <t xml:space="preserve">Wolkerovo náměstí </t>
  </si>
  <si>
    <t xml:space="preserve"> Neuznatelné výdaje</t>
  </si>
  <si>
    <t>Kácení a ošetření dřevin (Palackého a Wolkerovo nám.)</t>
  </si>
  <si>
    <t>Následná péče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</si>
</sst>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Kč&quot;_-;\-* #,##0.00\ &quot;Kč&quot;_-;_-* &quot;-&quot;??\ &quot;Kč&quot;_-;_-@_-"/>
    <numFmt numFmtId="164" formatCode="#,##0.00\ &quot;Kč&quot;"/>
    <numFmt numFmtId="165" formatCode="#,##0.00000"/>
  </numFmts>
  <fonts count="29" x14ac:knownFonts="1">
    <font>
      <sz val="10"/>
      <name val="Arial"/>
    </font>
    <font>
      <sz val="11"/>
      <color theme="1"/>
      <name val="Calibri"/>
      <family val="2"/>
      <charset val="238"/>
      <scheme val="minor"/>
    </font>
    <font>
      <sz val="10"/>
      <color indexed="8"/>
      <name val="Arial"/>
      <family val="2"/>
      <charset val="238"/>
    </font>
    <font>
      <sz val="18"/>
      <color indexed="8"/>
      <name val="Arial"/>
      <family val="2"/>
      <charset val="238"/>
    </font>
    <font>
      <b/>
      <sz val="10"/>
      <color indexed="8"/>
      <name val="Arial"/>
      <family val="2"/>
      <charset val="238"/>
    </font>
    <font>
      <sz val="10"/>
      <color indexed="61"/>
      <name val="Arial"/>
      <family val="2"/>
      <charset val="238"/>
    </font>
    <font>
      <sz val="10"/>
      <color indexed="62"/>
      <name val="Arial"/>
      <family val="2"/>
      <charset val="238"/>
    </font>
    <font>
      <i/>
      <sz val="8"/>
      <color indexed="8"/>
      <name val="Arial"/>
      <family val="2"/>
      <charset val="238"/>
    </font>
    <font>
      <i/>
      <sz val="10"/>
      <color indexed="60"/>
      <name val="Arial"/>
      <family val="2"/>
      <charset val="238"/>
    </font>
    <font>
      <sz val="10"/>
      <name val="Arial"/>
      <family val="2"/>
      <charset val="238"/>
    </font>
    <font>
      <sz val="9"/>
      <name val="Arial"/>
      <family val="2"/>
      <charset val="238"/>
    </font>
    <font>
      <b/>
      <sz val="10"/>
      <color indexed="61"/>
      <name val="Arial"/>
      <family val="2"/>
      <charset val="238"/>
    </font>
    <font>
      <b/>
      <sz val="9"/>
      <name val="Arial"/>
      <family val="2"/>
      <charset val="238"/>
    </font>
    <font>
      <i/>
      <sz val="10"/>
      <color indexed="8"/>
      <name val="Arial"/>
      <family val="2"/>
      <charset val="238"/>
    </font>
    <font>
      <b/>
      <i/>
      <sz val="10"/>
      <color indexed="8"/>
      <name val="Arial"/>
      <family val="2"/>
      <charset val="238"/>
    </font>
    <font>
      <sz val="9"/>
      <color indexed="61"/>
      <name val="Arial"/>
      <family val="2"/>
      <charset val="238"/>
    </font>
    <font>
      <b/>
      <sz val="10"/>
      <name val="Arial"/>
      <family val="2"/>
      <charset val="238"/>
    </font>
    <font>
      <sz val="18"/>
      <name val="Arial"/>
      <family val="2"/>
      <charset val="238"/>
    </font>
    <font>
      <i/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sz val="11"/>
      <name val="Calibri"/>
      <family val="2"/>
      <charset val="238"/>
      <scheme val="minor"/>
    </font>
    <font>
      <sz val="12"/>
      <name val="Arial"/>
      <family val="2"/>
      <charset val="238"/>
    </font>
    <font>
      <sz val="10"/>
      <name val="Arial CE"/>
    </font>
    <font>
      <sz val="8"/>
      <name val="Arial"/>
      <family val="2"/>
      <charset val="238"/>
    </font>
    <font>
      <sz val="14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9"/>
      </patternFill>
    </fill>
    <fill>
      <patternFill patternType="solid">
        <fgColor theme="0" tint="-0.14999847407452621"/>
        <bgColor indexed="64"/>
      </patternFill>
    </fill>
  </fills>
  <borders count="36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26" fillId="0" borderId="0"/>
  </cellStyleXfs>
  <cellXfs count="331">
    <xf numFmtId="0" fontId="2" fillId="0" borderId="0" xfId="0" applyFont="1" applyAlignment="1">
      <alignment vertical="center"/>
    </xf>
    <xf numFmtId="4" fontId="20" fillId="0" borderId="0" xfId="0" applyNumberFormat="1" applyFont="1" applyAlignment="1">
      <alignment vertical="center" wrapText="1"/>
    </xf>
    <xf numFmtId="49" fontId="2" fillId="0" borderId="1" xfId="0" applyNumberFormat="1" applyFont="1" applyFill="1" applyBorder="1" applyAlignment="1" applyProtection="1">
      <alignment horizontal="left" vertical="center"/>
    </xf>
    <xf numFmtId="49" fontId="5" fillId="0" borderId="0" xfId="0" applyNumberFormat="1" applyFont="1" applyFill="1" applyBorder="1" applyAlignment="1" applyProtection="1">
      <alignment horizontal="left" vertical="center"/>
    </xf>
    <xf numFmtId="49" fontId="6" fillId="0" borderId="0" xfId="0" applyNumberFormat="1" applyFont="1" applyFill="1" applyBorder="1" applyAlignment="1" applyProtection="1">
      <alignment horizontal="left" vertical="center"/>
    </xf>
    <xf numFmtId="0" fontId="2" fillId="0" borderId="4" xfId="0" applyNumberFormat="1" applyFont="1" applyFill="1" applyBorder="1" applyAlignment="1" applyProtection="1">
      <alignment vertical="center"/>
    </xf>
    <xf numFmtId="49" fontId="7" fillId="0" borderId="0" xfId="0" applyNumberFormat="1" applyFont="1" applyFill="1" applyBorder="1" applyAlignment="1" applyProtection="1">
      <alignment horizontal="left" vertical="center"/>
    </xf>
    <xf numFmtId="49" fontId="2" fillId="0" borderId="5" xfId="0" applyNumberFormat="1" applyFont="1" applyFill="1" applyBorder="1" applyAlignment="1" applyProtection="1">
      <alignment horizontal="left" vertical="center"/>
    </xf>
    <xf numFmtId="49" fontId="8" fillId="0" borderId="0" xfId="0" applyNumberFormat="1" applyFont="1" applyFill="1" applyBorder="1" applyAlignment="1" applyProtection="1">
      <alignment horizontal="right" vertical="top"/>
    </xf>
    <xf numFmtId="4" fontId="5" fillId="0" borderId="0" xfId="0" applyNumberFormat="1" applyFont="1" applyFill="1" applyBorder="1" applyAlignment="1" applyProtection="1">
      <alignment horizontal="right" vertical="center"/>
    </xf>
    <xf numFmtId="4" fontId="6" fillId="0" borderId="0" xfId="0" applyNumberFormat="1" applyFont="1" applyFill="1" applyBorder="1" applyAlignment="1" applyProtection="1">
      <alignment horizontal="right" vertical="center"/>
    </xf>
    <xf numFmtId="49" fontId="5" fillId="0" borderId="0" xfId="0" applyNumberFormat="1" applyFont="1" applyFill="1" applyBorder="1" applyAlignment="1" applyProtection="1">
      <alignment horizontal="right" vertical="center"/>
    </xf>
    <xf numFmtId="49" fontId="6" fillId="0" borderId="0" xfId="0" applyNumberFormat="1" applyFont="1" applyFill="1" applyBorder="1" applyAlignment="1" applyProtection="1">
      <alignment horizontal="right" vertical="center"/>
    </xf>
    <xf numFmtId="0" fontId="2" fillId="0" borderId="6" xfId="0" applyNumberFormat="1" applyFont="1" applyFill="1" applyBorder="1" applyAlignment="1" applyProtection="1">
      <alignment vertical="center"/>
    </xf>
    <xf numFmtId="4" fontId="2" fillId="0" borderId="0" xfId="0" applyNumberFormat="1" applyFont="1" applyFill="1" applyBorder="1" applyAlignment="1" applyProtection="1">
      <alignment horizontal="right" vertical="center"/>
    </xf>
    <xf numFmtId="49" fontId="2" fillId="0" borderId="0" xfId="0" applyNumberFormat="1" applyFont="1" applyFill="1" applyBorder="1" applyAlignment="1" applyProtection="1">
      <alignment horizontal="right" vertical="center"/>
    </xf>
    <xf numFmtId="0" fontId="2" fillId="0" borderId="2" xfId="0" applyNumberFormat="1" applyFont="1" applyFill="1" applyBorder="1" applyAlignment="1" applyProtection="1">
      <alignment vertical="center"/>
    </xf>
    <xf numFmtId="49" fontId="2" fillId="0" borderId="8" xfId="0" applyNumberFormat="1" applyFont="1" applyFill="1" applyBorder="1" applyAlignment="1" applyProtection="1">
      <alignment horizontal="left" vertical="center"/>
    </xf>
    <xf numFmtId="49" fontId="2" fillId="0" borderId="9" xfId="0" applyNumberFormat="1" applyFont="1" applyFill="1" applyBorder="1" applyAlignment="1" applyProtection="1">
      <alignment horizontal="left" vertical="center"/>
    </xf>
    <xf numFmtId="49" fontId="2" fillId="0" borderId="9" xfId="0" applyNumberFormat="1" applyFont="1" applyFill="1" applyBorder="1" applyAlignment="1" applyProtection="1">
      <alignment horizontal="center" vertical="center"/>
    </xf>
    <xf numFmtId="49" fontId="2" fillId="0" borderId="10" xfId="0" applyNumberFormat="1" applyFont="1" applyFill="1" applyBorder="1" applyAlignment="1" applyProtection="1">
      <alignment horizontal="center" vertical="center"/>
    </xf>
    <xf numFmtId="49" fontId="2" fillId="0" borderId="11" xfId="0" applyNumberFormat="1" applyFont="1" applyFill="1" applyBorder="1" applyAlignment="1" applyProtection="1">
      <alignment horizontal="right" vertical="center"/>
    </xf>
    <xf numFmtId="49" fontId="2" fillId="0" borderId="12" xfId="0" applyNumberFormat="1" applyFont="1" applyFill="1" applyBorder="1" applyAlignment="1" applyProtection="1">
      <alignment horizontal="center" vertical="center"/>
    </xf>
    <xf numFmtId="49" fontId="2" fillId="0" borderId="7" xfId="0" applyNumberFormat="1" applyFont="1" applyFill="1" applyBorder="1" applyAlignment="1" applyProtection="1">
      <alignment horizontal="center" vertical="center"/>
    </xf>
    <xf numFmtId="49" fontId="2" fillId="0" borderId="13" xfId="0" applyNumberFormat="1" applyFont="1" applyFill="1" applyBorder="1" applyAlignment="1" applyProtection="1">
      <alignment horizontal="center" vertical="center"/>
    </xf>
    <xf numFmtId="49" fontId="2" fillId="2" borderId="0" xfId="0" applyNumberFormat="1" applyFont="1" applyFill="1" applyBorder="1" applyAlignment="1" applyProtection="1">
      <alignment horizontal="right" vertical="center"/>
    </xf>
    <xf numFmtId="4" fontId="2" fillId="2" borderId="2" xfId="0" applyNumberFormat="1" applyFont="1" applyFill="1" applyBorder="1" applyAlignment="1" applyProtection="1">
      <alignment horizontal="right" vertical="center"/>
    </xf>
    <xf numFmtId="49" fontId="2" fillId="2" borderId="2" xfId="0" applyNumberFormat="1" applyFont="1" applyFill="1" applyBorder="1" applyAlignment="1" applyProtection="1">
      <alignment horizontal="right" vertical="center"/>
    </xf>
    <xf numFmtId="4" fontId="2" fillId="2" borderId="0" xfId="0" applyNumberFormat="1" applyFont="1" applyFill="1" applyBorder="1" applyAlignment="1" applyProtection="1">
      <alignment horizontal="right" vertical="center"/>
    </xf>
    <xf numFmtId="4" fontId="2" fillId="0" borderId="4" xfId="0" applyNumberFormat="1" applyFont="1" applyFill="1" applyBorder="1" applyAlignment="1" applyProtection="1">
      <alignment horizontal="right" vertical="center"/>
    </xf>
    <xf numFmtId="4" fontId="2" fillId="0" borderId="0" xfId="0" applyNumberFormat="1" applyFont="1" applyAlignment="1">
      <alignment vertical="center"/>
    </xf>
    <xf numFmtId="0" fontId="10" fillId="0" borderId="0" xfId="0" applyFont="1" applyAlignment="1">
      <alignment vertical="center" wrapText="1"/>
    </xf>
    <xf numFmtId="49" fontId="2" fillId="0" borderId="0" xfId="0" applyNumberFormat="1" applyFont="1" applyFill="1" applyBorder="1" applyAlignment="1" applyProtection="1">
      <alignment horizontal="center" vertical="center"/>
    </xf>
    <xf numFmtId="0" fontId="2" fillId="0" borderId="0" xfId="0" applyNumberFormat="1" applyFont="1" applyFill="1" applyBorder="1" applyAlignment="1" applyProtection="1">
      <alignment vertical="center"/>
    </xf>
    <xf numFmtId="4" fontId="11" fillId="0" borderId="0" xfId="0" applyNumberFormat="1" applyFont="1" applyFill="1" applyBorder="1" applyAlignment="1" applyProtection="1">
      <alignment horizontal="right" vertical="center"/>
    </xf>
    <xf numFmtId="49" fontId="11" fillId="0" borderId="0" xfId="0" applyNumberFormat="1" applyFont="1" applyFill="1" applyBorder="1" applyAlignment="1" applyProtection="1">
      <alignment horizontal="right" vertical="center"/>
    </xf>
    <xf numFmtId="0" fontId="4" fillId="0" borderId="0" xfId="0" applyFont="1" applyAlignment="1">
      <alignment vertical="center"/>
    </xf>
    <xf numFmtId="4" fontId="4" fillId="0" borderId="0" xfId="0" applyNumberFormat="1" applyFont="1" applyFill="1" applyBorder="1" applyAlignment="1" applyProtection="1">
      <alignment horizontal="right" vertical="center"/>
    </xf>
    <xf numFmtId="49" fontId="4" fillId="0" borderId="0" xfId="0" applyNumberFormat="1" applyFont="1" applyFill="1" applyBorder="1" applyAlignment="1" applyProtection="1">
      <alignment horizontal="right" vertical="center"/>
    </xf>
    <xf numFmtId="49" fontId="4" fillId="2" borderId="0" xfId="0" applyNumberFormat="1" applyFont="1" applyFill="1" applyBorder="1" applyAlignment="1" applyProtection="1">
      <alignment horizontal="right" vertical="center"/>
    </xf>
    <xf numFmtId="49" fontId="11" fillId="0" borderId="14" xfId="0" applyNumberFormat="1" applyFont="1" applyFill="1" applyBorder="1" applyAlignment="1" applyProtection="1">
      <alignment horizontal="left" vertical="center"/>
    </xf>
    <xf numFmtId="49" fontId="11" fillId="0" borderId="15" xfId="0" applyNumberFormat="1" applyFont="1" applyFill="1" applyBorder="1" applyAlignment="1" applyProtection="1">
      <alignment horizontal="left" vertical="center"/>
    </xf>
    <xf numFmtId="4" fontId="11" fillId="0" borderId="15" xfId="0" applyNumberFormat="1" applyFont="1" applyFill="1" applyBorder="1" applyAlignment="1" applyProtection="1">
      <alignment horizontal="right" vertical="center"/>
    </xf>
    <xf numFmtId="0" fontId="4" fillId="0" borderId="0" xfId="0" applyFont="1" applyBorder="1" applyAlignment="1">
      <alignment vertical="center"/>
    </xf>
    <xf numFmtId="4" fontId="11" fillId="0" borderId="16" xfId="0" applyNumberFormat="1" applyFont="1" applyFill="1" applyBorder="1" applyAlignment="1" applyProtection="1">
      <alignment horizontal="right" vertical="center"/>
    </xf>
    <xf numFmtId="4" fontId="2" fillId="0" borderId="0" xfId="0" applyNumberFormat="1" applyFont="1" applyFill="1" applyBorder="1" applyAlignment="1" applyProtection="1">
      <alignment vertical="center"/>
    </xf>
    <xf numFmtId="0" fontId="10" fillId="0" borderId="0" xfId="0" applyNumberFormat="1" applyFont="1" applyFill="1" applyBorder="1" applyAlignment="1" applyProtection="1">
      <alignment vertical="center" wrapText="1"/>
    </xf>
    <xf numFmtId="49" fontId="10" fillId="0" borderId="9" xfId="0" applyNumberFormat="1" applyFont="1" applyFill="1" applyBorder="1" applyAlignment="1" applyProtection="1">
      <alignment vertical="center" wrapText="1"/>
    </xf>
    <xf numFmtId="49" fontId="10" fillId="0" borderId="5" xfId="0" applyNumberFormat="1" applyFont="1" applyFill="1" applyBorder="1" applyAlignment="1" applyProtection="1">
      <alignment vertical="center" wrapText="1"/>
    </xf>
    <xf numFmtId="49" fontId="10" fillId="0" borderId="0" xfId="0" applyNumberFormat="1" applyFont="1" applyFill="1" applyBorder="1" applyAlignment="1" applyProtection="1">
      <alignment vertical="center" wrapText="1"/>
    </xf>
    <xf numFmtId="49" fontId="12" fillId="0" borderId="15" xfId="0" applyNumberFormat="1" applyFont="1" applyFill="1" applyBorder="1" applyAlignment="1" applyProtection="1">
      <alignment vertical="center" wrapText="1"/>
    </xf>
    <xf numFmtId="4" fontId="4" fillId="2" borderId="0" xfId="0" applyNumberFormat="1" applyFont="1" applyFill="1" applyBorder="1" applyAlignment="1" applyProtection="1">
      <alignment horizontal="right" vertical="center"/>
    </xf>
    <xf numFmtId="49" fontId="5" fillId="0" borderId="0" xfId="0" applyNumberFormat="1" applyFont="1" applyFill="1" applyBorder="1" applyAlignment="1" applyProtection="1">
      <alignment horizontal="left" vertical="center" wrapText="1"/>
    </xf>
    <xf numFmtId="49" fontId="5" fillId="0" borderId="3" xfId="0" applyNumberFormat="1" applyFont="1" applyFill="1" applyBorder="1" applyAlignment="1" applyProtection="1">
      <alignment horizontal="left" vertical="center"/>
    </xf>
    <xf numFmtId="4" fontId="5" fillId="0" borderId="3" xfId="0" applyNumberFormat="1" applyFont="1" applyFill="1" applyBorder="1" applyAlignment="1" applyProtection="1">
      <alignment horizontal="right" vertical="center"/>
    </xf>
    <xf numFmtId="0" fontId="3" fillId="0" borderId="3" xfId="0" applyNumberFormat="1" applyFont="1" applyFill="1" applyBorder="1" applyAlignment="1" applyProtection="1">
      <alignment vertical="center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17" xfId="0" applyNumberFormat="1" applyFont="1" applyFill="1" applyBorder="1" applyAlignment="1" applyProtection="1">
      <alignment vertical="center"/>
    </xf>
    <xf numFmtId="49" fontId="4" fillId="0" borderId="8" xfId="0" applyNumberFormat="1" applyFont="1" applyFill="1" applyBorder="1" applyAlignment="1" applyProtection="1">
      <alignment horizontal="left" vertical="center"/>
    </xf>
    <xf numFmtId="49" fontId="4" fillId="0" borderId="9" xfId="0" applyNumberFormat="1" applyFont="1" applyFill="1" applyBorder="1" applyAlignment="1" applyProtection="1">
      <alignment horizontal="left" vertical="center"/>
    </xf>
    <xf numFmtId="49" fontId="4" fillId="0" borderId="9" xfId="0" applyNumberFormat="1" applyFont="1" applyFill="1" applyBorder="1" applyAlignment="1" applyProtection="1">
      <alignment horizontal="center" vertical="center"/>
    </xf>
    <xf numFmtId="49" fontId="4" fillId="0" borderId="10" xfId="0" applyNumberFormat="1" applyFont="1" applyFill="1" applyBorder="1" applyAlignment="1" applyProtection="1">
      <alignment horizontal="center" vertical="center"/>
    </xf>
    <xf numFmtId="49" fontId="4" fillId="0" borderId="5" xfId="0" applyNumberFormat="1" applyFont="1" applyFill="1" applyBorder="1" applyAlignment="1" applyProtection="1">
      <alignment horizontal="left" vertical="center"/>
    </xf>
    <xf numFmtId="49" fontId="4" fillId="0" borderId="11" xfId="0" applyNumberFormat="1" applyFont="1" applyFill="1" applyBorder="1" applyAlignment="1" applyProtection="1">
      <alignment horizontal="right" vertical="center"/>
    </xf>
    <xf numFmtId="49" fontId="4" fillId="0" borderId="12" xfId="0" applyNumberFormat="1" applyFont="1" applyFill="1" applyBorder="1" applyAlignment="1" applyProtection="1">
      <alignment horizontal="center" vertical="center"/>
    </xf>
    <xf numFmtId="49" fontId="4" fillId="0" borderId="7" xfId="0" applyNumberFormat="1" applyFont="1" applyFill="1" applyBorder="1" applyAlignment="1" applyProtection="1">
      <alignment horizontal="center" vertical="center"/>
    </xf>
    <xf numFmtId="49" fontId="4" fillId="0" borderId="13" xfId="0" applyNumberFormat="1" applyFont="1" applyFill="1" applyBorder="1" applyAlignment="1" applyProtection="1">
      <alignment horizontal="center" vertical="center"/>
    </xf>
    <xf numFmtId="4" fontId="4" fillId="2" borderId="2" xfId="0" applyNumberFormat="1" applyFont="1" applyFill="1" applyBorder="1" applyAlignment="1" applyProtection="1">
      <alignment horizontal="right" vertical="center"/>
    </xf>
    <xf numFmtId="0" fontId="13" fillId="0" borderId="0" xfId="0" applyFont="1" applyAlignment="1">
      <alignment vertical="center"/>
    </xf>
    <xf numFmtId="49" fontId="4" fillId="0" borderId="0" xfId="0" applyNumberFormat="1" applyFont="1" applyFill="1" applyBorder="1" applyAlignment="1" applyProtection="1">
      <alignment horizontal="left" vertical="center"/>
    </xf>
    <xf numFmtId="49" fontId="2" fillId="0" borderId="4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14" fontId="2" fillId="0" borderId="0" xfId="0" applyNumberFormat="1" applyFont="1" applyFill="1" applyBorder="1" applyAlignment="1" applyProtection="1">
      <alignment vertical="center"/>
    </xf>
    <xf numFmtId="14" fontId="2" fillId="0" borderId="0" xfId="0" applyNumberFormat="1" applyFont="1" applyFill="1" applyBorder="1" applyAlignment="1" applyProtection="1">
      <alignment vertical="center" wrapText="1"/>
    </xf>
    <xf numFmtId="49" fontId="4" fillId="0" borderId="18" xfId="0" applyNumberFormat="1" applyFont="1" applyFill="1" applyBorder="1" applyAlignment="1" applyProtection="1">
      <alignment horizontal="left" vertical="center"/>
    </xf>
    <xf numFmtId="49" fontId="4" fillId="0" borderId="19" xfId="0" applyNumberFormat="1" applyFont="1" applyFill="1" applyBorder="1" applyAlignment="1" applyProtection="1">
      <alignment horizontal="left" vertical="center"/>
    </xf>
    <xf numFmtId="49" fontId="4" fillId="0" borderId="19" xfId="0" applyNumberFormat="1" applyFont="1" applyFill="1" applyBorder="1" applyAlignment="1" applyProtection="1">
      <alignment horizontal="center" vertical="center"/>
    </xf>
    <xf numFmtId="49" fontId="2" fillId="0" borderId="2" xfId="0" applyNumberFormat="1" applyFont="1" applyFill="1" applyBorder="1" applyAlignment="1" applyProtection="1">
      <alignment horizontal="left" vertical="center"/>
    </xf>
    <xf numFmtId="4" fontId="2" fillId="0" borderId="2" xfId="0" applyNumberFormat="1" applyFont="1" applyFill="1" applyBorder="1" applyAlignment="1" applyProtection="1">
      <alignment horizontal="right" vertical="center"/>
    </xf>
    <xf numFmtId="49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Font="1" applyFill="1" applyAlignment="1">
      <alignment vertical="center"/>
    </xf>
    <xf numFmtId="49" fontId="7" fillId="0" borderId="0" xfId="0" applyNumberFormat="1" applyFont="1" applyFill="1" applyBorder="1" applyAlignment="1" applyProtection="1">
      <alignment horizontal="left"/>
    </xf>
    <xf numFmtId="0" fontId="2" fillId="0" borderId="0" xfId="0" applyFont="1" applyAlignment="1"/>
    <xf numFmtId="0" fontId="13" fillId="0" borderId="0" xfId="0" applyFont="1" applyAlignment="1"/>
    <xf numFmtId="49" fontId="2" fillId="0" borderId="20" xfId="0" applyNumberFormat="1" applyFont="1" applyFill="1" applyBorder="1" applyAlignment="1" applyProtection="1">
      <alignment horizontal="left" vertical="center"/>
    </xf>
    <xf numFmtId="4" fontId="2" fillId="0" borderId="20" xfId="0" applyNumberFormat="1" applyFont="1" applyFill="1" applyBorder="1" applyAlignment="1" applyProtection="1">
      <alignment horizontal="right" vertical="center"/>
    </xf>
    <xf numFmtId="4" fontId="2" fillId="0" borderId="3" xfId="0" applyNumberFormat="1" applyFont="1" applyFill="1" applyBorder="1" applyAlignment="1" applyProtection="1">
      <alignment horizontal="right" vertical="center"/>
    </xf>
    <xf numFmtId="49" fontId="4" fillId="0" borderId="0" xfId="0" applyNumberFormat="1" applyFont="1" applyFill="1" applyBorder="1" applyAlignment="1" applyProtection="1">
      <alignment horizontal="center" vertical="center"/>
    </xf>
    <xf numFmtId="164" fontId="2" fillId="0" borderId="0" xfId="0" applyNumberFormat="1" applyFont="1" applyAlignment="1">
      <alignment vertical="center"/>
    </xf>
    <xf numFmtId="2" fontId="2" fillId="0" borderId="0" xfId="0" applyNumberFormat="1" applyFont="1" applyAlignment="1">
      <alignment vertical="center"/>
    </xf>
    <xf numFmtId="2" fontId="2" fillId="0" borderId="0" xfId="0" applyNumberFormat="1" applyFont="1" applyFill="1" applyBorder="1" applyAlignment="1" applyProtection="1">
      <alignment vertical="center"/>
    </xf>
    <xf numFmtId="0" fontId="14" fillId="0" borderId="0" xfId="0" applyFont="1" applyAlignment="1">
      <alignment vertical="center"/>
    </xf>
    <xf numFmtId="2" fontId="4" fillId="0" borderId="0" xfId="0" applyNumberFormat="1" applyFont="1" applyAlignment="1">
      <alignment vertical="center"/>
    </xf>
    <xf numFmtId="0" fontId="2" fillId="0" borderId="0" xfId="0" applyFont="1" applyAlignment="1">
      <alignment vertical="center" wrapText="1"/>
    </xf>
    <xf numFmtId="164" fontId="4" fillId="0" borderId="0" xfId="0" applyNumberFormat="1" applyFont="1" applyAlignment="1">
      <alignment vertical="center"/>
    </xf>
    <xf numFmtId="0" fontId="20" fillId="0" borderId="0" xfId="0" applyFont="1" applyAlignment="1">
      <alignment vertical="center" wrapText="1"/>
    </xf>
    <xf numFmtId="49" fontId="15" fillId="0" borderId="0" xfId="0" applyNumberFormat="1" applyFont="1" applyFill="1" applyBorder="1" applyAlignment="1" applyProtection="1">
      <alignment horizontal="left" vertical="center" wrapText="1"/>
    </xf>
    <xf numFmtId="0" fontId="8" fillId="0" borderId="0" xfId="0" applyNumberFormat="1" applyFont="1" applyFill="1" applyBorder="1" applyAlignment="1" applyProtection="1">
      <alignment vertical="top"/>
    </xf>
    <xf numFmtId="49" fontId="6" fillId="0" borderId="0" xfId="0" applyNumberFormat="1" applyFont="1" applyFill="1" applyBorder="1" applyAlignment="1" applyProtection="1">
      <alignment horizontal="left" vertical="center" wrapText="1"/>
    </xf>
    <xf numFmtId="49" fontId="5" fillId="0" borderId="3" xfId="0" applyNumberFormat="1" applyFont="1" applyFill="1" applyBorder="1" applyAlignment="1" applyProtection="1">
      <alignment horizontal="left" vertical="center" wrapText="1"/>
    </xf>
    <xf numFmtId="0" fontId="3" fillId="0" borderId="0" xfId="0" applyNumberFormat="1" applyFont="1" applyFill="1" applyBorder="1" applyAlignment="1" applyProtection="1">
      <alignment vertical="center"/>
    </xf>
    <xf numFmtId="0" fontId="2" fillId="0" borderId="0" xfId="0" applyFont="1" applyBorder="1" applyAlignment="1">
      <alignment vertical="center"/>
    </xf>
    <xf numFmtId="0" fontId="2" fillId="0" borderId="6" xfId="0" applyFont="1" applyBorder="1" applyAlignment="1">
      <alignment vertical="center"/>
    </xf>
    <xf numFmtId="4" fontId="23" fillId="0" borderId="0" xfId="0" applyNumberFormat="1" applyFont="1" applyAlignment="1">
      <alignment vertical="center"/>
    </xf>
    <xf numFmtId="4" fontId="4" fillId="0" borderId="0" xfId="0" applyNumberFormat="1" applyFont="1" applyBorder="1" applyAlignment="1">
      <alignment vertical="center"/>
    </xf>
    <xf numFmtId="49" fontId="2" fillId="0" borderId="4" xfId="0" applyNumberFormat="1" applyFont="1" applyFill="1" applyBorder="1" applyAlignment="1" applyProtection="1">
      <alignment horizontal="left" vertical="center"/>
    </xf>
    <xf numFmtId="49" fontId="4" fillId="0" borderId="6" xfId="0" applyNumberFormat="1" applyFont="1" applyFill="1" applyBorder="1" applyAlignment="1" applyProtection="1">
      <alignment horizontal="left" vertical="center"/>
    </xf>
    <xf numFmtId="4" fontId="2" fillId="0" borderId="0" xfId="0" applyNumberFormat="1" applyFont="1" applyBorder="1" applyAlignment="1">
      <alignment vertical="center"/>
    </xf>
    <xf numFmtId="49" fontId="4" fillId="3" borderId="14" xfId="0" applyNumberFormat="1" applyFont="1" applyFill="1" applyBorder="1" applyAlignment="1" applyProtection="1">
      <alignment horizontal="left" vertical="center"/>
    </xf>
    <xf numFmtId="0" fontId="2" fillId="3" borderId="15" xfId="0" applyFont="1" applyFill="1" applyBorder="1" applyAlignment="1">
      <alignment vertical="center"/>
    </xf>
    <xf numFmtId="4" fontId="2" fillId="3" borderId="15" xfId="0" applyNumberFormat="1" applyFont="1" applyFill="1" applyBorder="1" applyAlignment="1">
      <alignment vertical="center"/>
    </xf>
    <xf numFmtId="49" fontId="4" fillId="3" borderId="24" xfId="0" applyNumberFormat="1" applyFont="1" applyFill="1" applyBorder="1" applyAlignment="1" applyProtection="1">
      <alignment horizontal="left" vertical="center"/>
    </xf>
    <xf numFmtId="0" fontId="2" fillId="3" borderId="17" xfId="0" applyFont="1" applyFill="1" applyBorder="1" applyAlignment="1">
      <alignment vertical="center"/>
    </xf>
    <xf numFmtId="4" fontId="2" fillId="3" borderId="17" xfId="0" applyNumberFormat="1" applyFont="1" applyFill="1" applyBorder="1" applyAlignment="1">
      <alignment vertical="center"/>
    </xf>
    <xf numFmtId="49" fontId="4" fillId="0" borderId="25" xfId="0" applyNumberFormat="1" applyFont="1" applyFill="1" applyBorder="1" applyAlignment="1" applyProtection="1">
      <alignment horizontal="left" vertical="center"/>
    </xf>
    <xf numFmtId="49" fontId="4" fillId="0" borderId="24" xfId="0" applyNumberFormat="1" applyFont="1" applyFill="1" applyBorder="1" applyAlignment="1" applyProtection="1">
      <alignment horizontal="left" vertical="center"/>
    </xf>
    <xf numFmtId="0" fontId="9" fillId="0" borderId="2" xfId="0" applyFont="1" applyFill="1" applyBorder="1" applyAlignment="1">
      <alignment vertical="center"/>
    </xf>
    <xf numFmtId="4" fontId="9" fillId="0" borderId="2" xfId="0" applyNumberFormat="1" applyFont="1" applyFill="1" applyBorder="1" applyAlignment="1">
      <alignment vertical="center"/>
    </xf>
    <xf numFmtId="0" fontId="2" fillId="0" borderId="17" xfId="0" applyFont="1" applyFill="1" applyBorder="1" applyAlignment="1">
      <alignment vertical="center"/>
    </xf>
    <xf numFmtId="4" fontId="2" fillId="0" borderId="17" xfId="0" applyNumberFormat="1" applyFont="1" applyFill="1" applyBorder="1" applyAlignment="1">
      <alignment vertical="center"/>
    </xf>
    <xf numFmtId="0" fontId="2" fillId="0" borderId="2" xfId="0" applyFont="1" applyBorder="1" applyAlignment="1">
      <alignment vertical="center"/>
    </xf>
    <xf numFmtId="4" fontId="2" fillId="0" borderId="2" xfId="0" applyNumberFormat="1" applyFont="1" applyBorder="1" applyAlignment="1">
      <alignment vertical="center"/>
    </xf>
    <xf numFmtId="0" fontId="2" fillId="0" borderId="20" xfId="0" applyFont="1" applyBorder="1" applyAlignment="1">
      <alignment vertical="center"/>
    </xf>
    <xf numFmtId="0" fontId="2" fillId="0" borderId="25" xfId="0" applyFont="1" applyBorder="1" applyAlignment="1">
      <alignment vertical="center"/>
    </xf>
    <xf numFmtId="4" fontId="4" fillId="0" borderId="26" xfId="0" applyNumberFormat="1" applyFont="1" applyFill="1" applyBorder="1" applyAlignment="1" applyProtection="1">
      <alignment horizontal="right" vertical="center"/>
    </xf>
    <xf numFmtId="0" fontId="2" fillId="0" borderId="27" xfId="0" applyFont="1" applyBorder="1" applyAlignment="1">
      <alignment vertical="center"/>
    </xf>
    <xf numFmtId="0" fontId="2" fillId="0" borderId="28" xfId="0" applyFont="1" applyBorder="1" applyAlignment="1">
      <alignment vertical="center"/>
    </xf>
    <xf numFmtId="49" fontId="2" fillId="0" borderId="6" xfId="0" applyNumberFormat="1" applyFont="1" applyFill="1" applyBorder="1" applyAlignment="1" applyProtection="1">
      <alignment horizontal="left" vertical="center"/>
    </xf>
    <xf numFmtId="0" fontId="2" fillId="0" borderId="25" xfId="0" applyNumberFormat="1" applyFont="1" applyFill="1" applyBorder="1" applyAlignment="1" applyProtection="1">
      <alignment vertical="center" wrapText="1"/>
    </xf>
    <xf numFmtId="0" fontId="4" fillId="0" borderId="2" xfId="0" applyNumberFormat="1" applyFont="1" applyFill="1" applyBorder="1" applyAlignment="1" applyProtection="1">
      <alignment vertical="center" wrapText="1"/>
    </xf>
    <xf numFmtId="0" fontId="2" fillId="0" borderId="2" xfId="0" applyNumberFormat="1" applyFont="1" applyFill="1" applyBorder="1" applyAlignment="1" applyProtection="1">
      <alignment vertical="center" wrapText="1"/>
    </xf>
    <xf numFmtId="0" fontId="2" fillId="0" borderId="26" xfId="0" applyNumberFormat="1" applyFont="1" applyFill="1" applyBorder="1" applyAlignment="1" applyProtection="1">
      <alignment vertical="center" wrapText="1"/>
    </xf>
    <xf numFmtId="0" fontId="2" fillId="0" borderId="29" xfId="0" applyNumberFormat="1" applyFont="1" applyFill="1" applyBorder="1" applyAlignment="1" applyProtection="1">
      <alignment vertical="center" wrapText="1"/>
    </xf>
    <xf numFmtId="0" fontId="2" fillId="0" borderId="6" xfId="0" applyNumberFormat="1" applyFont="1" applyFill="1" applyBorder="1" applyAlignment="1" applyProtection="1">
      <alignment vertical="center" wrapText="1"/>
    </xf>
    <xf numFmtId="0" fontId="2" fillId="0" borderId="29" xfId="0" applyNumberFormat="1" applyFont="1" applyFill="1" applyBorder="1" applyAlignment="1" applyProtection="1">
      <alignment vertical="center"/>
    </xf>
    <xf numFmtId="0" fontId="2" fillId="0" borderId="24" xfId="0" applyNumberFormat="1" applyFont="1" applyFill="1" applyBorder="1" applyAlignment="1" applyProtection="1">
      <alignment vertical="center"/>
    </xf>
    <xf numFmtId="0" fontId="2" fillId="0" borderId="30" xfId="0" applyNumberFormat="1" applyFont="1" applyFill="1" applyBorder="1" applyAlignment="1" applyProtection="1">
      <alignment vertical="center"/>
    </xf>
    <xf numFmtId="49" fontId="4" fillId="0" borderId="31" xfId="0" applyNumberFormat="1" applyFont="1" applyFill="1" applyBorder="1" applyAlignment="1" applyProtection="1">
      <alignment horizontal="left" vertical="center"/>
    </xf>
    <xf numFmtId="49" fontId="2" fillId="0" borderId="25" xfId="0" applyNumberFormat="1" applyFont="1" applyFill="1" applyBorder="1" applyAlignment="1" applyProtection="1">
      <alignment horizontal="left" vertical="center"/>
    </xf>
    <xf numFmtId="49" fontId="2" fillId="0" borderId="27" xfId="0" applyNumberFormat="1" applyFont="1" applyFill="1" applyBorder="1" applyAlignment="1" applyProtection="1">
      <alignment horizontal="left" vertical="center"/>
    </xf>
    <xf numFmtId="49" fontId="2" fillId="0" borderId="21" xfId="0" applyNumberFormat="1" applyFont="1" applyFill="1" applyBorder="1" applyAlignment="1" applyProtection="1">
      <alignment horizontal="left" vertical="center"/>
    </xf>
    <xf numFmtId="4" fontId="2" fillId="0" borderId="20" xfId="0" applyNumberFormat="1" applyFont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4" fontId="2" fillId="0" borderId="0" xfId="0" applyNumberFormat="1" applyFont="1" applyFill="1" applyBorder="1" applyAlignment="1">
      <alignment vertical="center"/>
    </xf>
    <xf numFmtId="0" fontId="2" fillId="0" borderId="15" xfId="0" applyNumberFormat="1" applyFont="1" applyFill="1" applyBorder="1" applyAlignment="1" applyProtection="1">
      <alignment vertical="center"/>
    </xf>
    <xf numFmtId="0" fontId="2" fillId="0" borderId="26" xfId="0" applyNumberFormat="1" applyFont="1" applyFill="1" applyBorder="1" applyAlignment="1" applyProtection="1">
      <alignment vertical="center"/>
    </xf>
    <xf numFmtId="0" fontId="17" fillId="0" borderId="3" xfId="0" applyNumberFormat="1" applyFont="1" applyFill="1" applyBorder="1" applyAlignment="1" applyProtection="1">
      <alignment vertical="center"/>
    </xf>
    <xf numFmtId="0" fontId="9" fillId="0" borderId="0" xfId="0" applyFont="1" applyAlignment="1">
      <alignment vertical="center"/>
    </xf>
    <xf numFmtId="49" fontId="9" fillId="0" borderId="8" xfId="0" applyNumberFormat="1" applyFont="1" applyFill="1" applyBorder="1" applyAlignment="1" applyProtection="1">
      <alignment horizontal="left" vertical="center"/>
    </xf>
    <xf numFmtId="49" fontId="9" fillId="0" borderId="9" xfId="0" applyNumberFormat="1" applyFont="1" applyFill="1" applyBorder="1" applyAlignment="1" applyProtection="1">
      <alignment horizontal="left" vertical="center"/>
    </xf>
    <xf numFmtId="49" fontId="9" fillId="0" borderId="9" xfId="0" applyNumberFormat="1" applyFont="1" applyFill="1" applyBorder="1" applyAlignment="1" applyProtection="1">
      <alignment horizontal="center" vertical="center"/>
    </xf>
    <xf numFmtId="49" fontId="9" fillId="0" borderId="10" xfId="0" applyNumberFormat="1" applyFont="1" applyFill="1" applyBorder="1" applyAlignment="1" applyProtection="1">
      <alignment horizontal="center" vertical="center"/>
    </xf>
    <xf numFmtId="0" fontId="9" fillId="0" borderId="6" xfId="0" applyNumberFormat="1" applyFont="1" applyFill="1" applyBorder="1" applyAlignment="1" applyProtection="1">
      <alignment vertical="center"/>
    </xf>
    <xf numFmtId="49" fontId="9" fillId="0" borderId="1" xfId="0" applyNumberFormat="1" applyFont="1" applyFill="1" applyBorder="1" applyAlignment="1" applyProtection="1">
      <alignment horizontal="left" vertical="center"/>
    </xf>
    <xf numFmtId="49" fontId="9" fillId="0" borderId="5" xfId="0" applyNumberFormat="1" applyFont="1" applyFill="1" applyBorder="1" applyAlignment="1" applyProtection="1">
      <alignment horizontal="left" vertical="center"/>
    </xf>
    <xf numFmtId="49" fontId="9" fillId="0" borderId="11" xfId="0" applyNumberFormat="1" applyFont="1" applyFill="1" applyBorder="1" applyAlignment="1" applyProtection="1">
      <alignment horizontal="right" vertical="center"/>
    </xf>
    <xf numFmtId="49" fontId="9" fillId="0" borderId="12" xfId="0" applyNumberFormat="1" applyFont="1" applyFill="1" applyBorder="1" applyAlignment="1" applyProtection="1">
      <alignment horizontal="center" vertical="center"/>
    </xf>
    <xf numFmtId="49" fontId="9" fillId="0" borderId="7" xfId="0" applyNumberFormat="1" applyFont="1" applyFill="1" applyBorder="1" applyAlignment="1" applyProtection="1">
      <alignment horizontal="center" vertical="center"/>
    </xf>
    <xf numFmtId="49" fontId="9" fillId="0" borderId="13" xfId="0" applyNumberFormat="1" applyFont="1" applyFill="1" applyBorder="1" applyAlignment="1" applyProtection="1">
      <alignment horizontal="center" vertical="center"/>
    </xf>
    <xf numFmtId="49" fontId="9" fillId="2" borderId="0" xfId="0" applyNumberFormat="1" applyFont="1" applyFill="1" applyBorder="1" applyAlignment="1" applyProtection="1">
      <alignment horizontal="right" vertical="center"/>
    </xf>
    <xf numFmtId="49" fontId="9" fillId="0" borderId="0" xfId="0" applyNumberFormat="1" applyFont="1" applyFill="1" applyBorder="1" applyAlignment="1" applyProtection="1">
      <alignment horizontal="right" vertical="center"/>
    </xf>
    <xf numFmtId="49" fontId="9" fillId="0" borderId="0" xfId="0" applyNumberFormat="1" applyFont="1" applyFill="1" applyBorder="1" applyAlignment="1" applyProtection="1">
      <alignment horizontal="center" vertical="center"/>
    </xf>
    <xf numFmtId="0" fontId="9" fillId="0" borderId="0" xfId="0" applyNumberFormat="1" applyFont="1" applyFill="1" applyBorder="1" applyAlignment="1" applyProtection="1">
      <alignment vertical="center"/>
    </xf>
    <xf numFmtId="4" fontId="9" fillId="2" borderId="0" xfId="0" applyNumberFormat="1" applyFont="1" applyFill="1" applyBorder="1" applyAlignment="1" applyProtection="1">
      <alignment horizontal="right" vertical="center"/>
    </xf>
    <xf numFmtId="4" fontId="9" fillId="0" borderId="0" xfId="0" applyNumberFormat="1" applyFont="1" applyFill="1" applyBorder="1" applyAlignment="1" applyProtection="1">
      <alignment horizontal="right" vertical="center"/>
    </xf>
    <xf numFmtId="4" fontId="9" fillId="0" borderId="0" xfId="0" applyNumberFormat="1" applyFont="1" applyAlignment="1">
      <alignment vertical="center"/>
    </xf>
    <xf numFmtId="49" fontId="16" fillId="0" borderId="14" xfId="0" applyNumberFormat="1" applyFont="1" applyFill="1" applyBorder="1" applyAlignment="1" applyProtection="1">
      <alignment horizontal="left" vertical="center"/>
    </xf>
    <xf numFmtId="49" fontId="16" fillId="0" borderId="15" xfId="0" applyNumberFormat="1" applyFont="1" applyFill="1" applyBorder="1" applyAlignment="1" applyProtection="1">
      <alignment horizontal="left" vertical="center"/>
    </xf>
    <xf numFmtId="4" fontId="16" fillId="0" borderId="15" xfId="0" applyNumberFormat="1" applyFont="1" applyFill="1" applyBorder="1" applyAlignment="1" applyProtection="1">
      <alignment horizontal="right" vertical="center"/>
    </xf>
    <xf numFmtId="4" fontId="16" fillId="0" borderId="16" xfId="0" applyNumberFormat="1" applyFont="1" applyFill="1" applyBorder="1" applyAlignment="1" applyProtection="1">
      <alignment horizontal="right" vertical="center"/>
    </xf>
    <xf numFmtId="49" fontId="16" fillId="0" borderId="0" xfId="0" applyNumberFormat="1" applyFont="1" applyFill="1" applyBorder="1" applyAlignment="1" applyProtection="1">
      <alignment horizontal="right" vertical="center"/>
    </xf>
    <xf numFmtId="4" fontId="16" fillId="0" borderId="0" xfId="0" applyNumberFormat="1" applyFont="1" applyFill="1" applyBorder="1" applyAlignment="1" applyProtection="1">
      <alignment horizontal="right" vertical="center"/>
    </xf>
    <xf numFmtId="0" fontId="16" fillId="0" borderId="0" xfId="0" applyFont="1" applyBorder="1" applyAlignment="1">
      <alignment vertical="center"/>
    </xf>
    <xf numFmtId="49" fontId="16" fillId="2" borderId="0" xfId="0" applyNumberFormat="1" applyFont="1" applyFill="1" applyBorder="1" applyAlignment="1" applyProtection="1">
      <alignment horizontal="right" vertical="center"/>
    </xf>
    <xf numFmtId="4" fontId="9" fillId="0" borderId="0" xfId="0" applyNumberFormat="1" applyFont="1" applyFill="1" applyBorder="1" applyAlignment="1" applyProtection="1">
      <alignment vertical="center"/>
    </xf>
    <xf numFmtId="4" fontId="9" fillId="2" borderId="2" xfId="0" applyNumberFormat="1" applyFont="1" applyFill="1" applyBorder="1" applyAlignment="1" applyProtection="1">
      <alignment horizontal="right" vertical="center"/>
    </xf>
    <xf numFmtId="49" fontId="9" fillId="2" borderId="2" xfId="0" applyNumberFormat="1" applyFont="1" applyFill="1" applyBorder="1" applyAlignment="1" applyProtection="1">
      <alignment horizontal="right" vertical="center"/>
    </xf>
    <xf numFmtId="49" fontId="9" fillId="0" borderId="0" xfId="0" applyNumberFormat="1" applyFont="1" applyFill="1" applyBorder="1" applyAlignment="1" applyProtection="1">
      <alignment horizontal="left" vertical="center" wrapText="1"/>
    </xf>
    <xf numFmtId="49" fontId="18" fillId="0" borderId="0" xfId="0" applyNumberFormat="1" applyFont="1" applyFill="1" applyBorder="1" applyAlignment="1" applyProtection="1">
      <alignment horizontal="right" vertical="top"/>
    </xf>
    <xf numFmtId="0" fontId="18" fillId="0" borderId="0" xfId="0" applyNumberFormat="1" applyFont="1" applyFill="1" applyBorder="1" applyAlignment="1" applyProtection="1">
      <alignment vertical="top"/>
    </xf>
    <xf numFmtId="0" fontId="17" fillId="0" borderId="0" xfId="0" applyNumberFormat="1" applyFont="1" applyFill="1" applyBorder="1" applyAlignment="1" applyProtection="1">
      <alignment vertical="center"/>
    </xf>
    <xf numFmtId="49" fontId="2" fillId="0" borderId="0" xfId="0" applyNumberFormat="1" applyFont="1" applyFill="1" applyBorder="1" applyAlignment="1" applyProtection="1">
      <alignment horizontal="left" vertical="center"/>
    </xf>
    <xf numFmtId="49" fontId="2" fillId="2" borderId="0" xfId="0" applyNumberFormat="1" applyFont="1" applyFill="1" applyBorder="1" applyAlignment="1" applyProtection="1">
      <alignment horizontal="left" vertical="center"/>
    </xf>
    <xf numFmtId="49" fontId="2" fillId="2" borderId="2" xfId="0" applyNumberFormat="1" applyFont="1" applyFill="1" applyBorder="1" applyAlignment="1" applyProtection="1">
      <alignment horizontal="left" vertical="center"/>
    </xf>
    <xf numFmtId="49" fontId="4" fillId="2" borderId="2" xfId="0" applyNumberFormat="1" applyFont="1" applyFill="1" applyBorder="1" applyAlignment="1" applyProtection="1">
      <alignment horizontal="left" vertical="center"/>
    </xf>
    <xf numFmtId="49" fontId="4" fillId="2" borderId="0" xfId="0" applyNumberFormat="1" applyFont="1" applyFill="1" applyBorder="1" applyAlignment="1" applyProtection="1">
      <alignment horizontal="left" vertical="center"/>
    </xf>
    <xf numFmtId="165" fontId="9" fillId="0" borderId="0" xfId="0" applyNumberFormat="1" applyFont="1" applyFill="1" applyBorder="1" applyAlignment="1" applyProtection="1">
      <alignment horizontal="right" vertical="center"/>
    </xf>
    <xf numFmtId="49" fontId="4" fillId="0" borderId="9" xfId="0" applyNumberFormat="1" applyFont="1" applyFill="1" applyBorder="1" applyAlignment="1" applyProtection="1">
      <alignment horizontal="left" vertical="center" wrapText="1"/>
    </xf>
    <xf numFmtId="49" fontId="4" fillId="0" borderId="5" xfId="0" applyNumberFormat="1" applyFont="1" applyFill="1" applyBorder="1" applyAlignment="1" applyProtection="1">
      <alignment horizontal="left" vertical="center" wrapText="1"/>
    </xf>
    <xf numFmtId="0" fontId="13" fillId="0" borderId="0" xfId="0" applyFont="1" applyAlignment="1">
      <alignment vertical="center" wrapText="1"/>
    </xf>
    <xf numFmtId="3" fontId="2" fillId="0" borderId="22" xfId="0" applyNumberFormat="1" applyFont="1" applyFill="1" applyBorder="1" applyAlignment="1" applyProtection="1">
      <alignment horizontal="right" vertical="center"/>
    </xf>
    <xf numFmtId="3" fontId="2" fillId="0" borderId="29" xfId="0" applyNumberFormat="1" applyFont="1" applyFill="1" applyBorder="1" applyAlignment="1" applyProtection="1">
      <alignment horizontal="right" vertical="center"/>
    </xf>
    <xf numFmtId="3" fontId="2" fillId="0" borderId="23" xfId="0" applyNumberFormat="1" applyFont="1" applyFill="1" applyBorder="1" applyAlignment="1" applyProtection="1">
      <alignment horizontal="right" vertical="center"/>
    </xf>
    <xf numFmtId="3" fontId="2" fillId="0" borderId="28" xfId="0" applyNumberFormat="1" applyFont="1" applyFill="1" applyBorder="1" applyAlignment="1" applyProtection="1">
      <alignment horizontal="right" vertical="center"/>
    </xf>
    <xf numFmtId="3" fontId="2" fillId="0" borderId="29" xfId="0" applyNumberFormat="1" applyFont="1" applyBorder="1" applyAlignment="1">
      <alignment vertical="center"/>
    </xf>
    <xf numFmtId="3" fontId="16" fillId="0" borderId="26" xfId="0" applyNumberFormat="1" applyFont="1" applyFill="1" applyBorder="1" applyAlignment="1" applyProtection="1">
      <alignment horizontal="right" vertical="center"/>
    </xf>
    <xf numFmtId="3" fontId="4" fillId="0" borderId="30" xfId="0" applyNumberFormat="1" applyFont="1" applyFill="1" applyBorder="1" applyAlignment="1" applyProtection="1">
      <alignment horizontal="right" vertical="center"/>
    </xf>
    <xf numFmtId="3" fontId="4" fillId="3" borderId="16" xfId="0" applyNumberFormat="1" applyFont="1" applyFill="1" applyBorder="1" applyAlignment="1" applyProtection="1">
      <alignment horizontal="right" vertical="center"/>
    </xf>
    <xf numFmtId="3" fontId="2" fillId="0" borderId="28" xfId="0" applyNumberFormat="1" applyFont="1" applyBorder="1" applyAlignment="1">
      <alignment vertical="center"/>
    </xf>
    <xf numFmtId="3" fontId="4" fillId="0" borderId="29" xfId="0" applyNumberFormat="1" applyFont="1" applyFill="1" applyBorder="1" applyAlignment="1" applyProtection="1">
      <alignment horizontal="right" vertical="center"/>
    </xf>
    <xf numFmtId="3" fontId="4" fillId="3" borderId="30" xfId="0" applyNumberFormat="1" applyFont="1" applyFill="1" applyBorder="1" applyAlignment="1" applyProtection="1">
      <alignment horizontal="right" vertical="center"/>
    </xf>
    <xf numFmtId="49" fontId="2" fillId="2" borderId="2" xfId="0" applyNumberFormat="1" applyFont="1" applyFill="1" applyBorder="1" applyAlignment="1" applyProtection="1">
      <alignment horizontal="left" vertical="center"/>
    </xf>
    <xf numFmtId="49" fontId="2" fillId="2" borderId="0" xfId="0" applyNumberFormat="1" applyFont="1" applyFill="1" applyBorder="1" applyAlignment="1" applyProtection="1">
      <alignment horizontal="left" vertical="center"/>
    </xf>
    <xf numFmtId="49" fontId="2" fillId="0" borderId="0" xfId="0" applyNumberFormat="1" applyFont="1" applyFill="1" applyBorder="1" applyAlignment="1" applyProtection="1">
      <alignment horizontal="left" vertical="center"/>
    </xf>
    <xf numFmtId="49" fontId="9" fillId="2" borderId="2" xfId="0" applyNumberFormat="1" applyFont="1" applyFill="1" applyBorder="1" applyAlignment="1" applyProtection="1">
      <alignment horizontal="left" vertical="center"/>
    </xf>
    <xf numFmtId="49" fontId="9" fillId="2" borderId="0" xfId="0" applyNumberFormat="1" applyFont="1" applyFill="1" applyBorder="1" applyAlignment="1" applyProtection="1">
      <alignment horizontal="left" vertical="center"/>
    </xf>
    <xf numFmtId="49" fontId="9" fillId="0" borderId="0" xfId="0" applyNumberFormat="1" applyFont="1" applyFill="1" applyBorder="1" applyAlignment="1" applyProtection="1">
      <alignment horizontal="left" vertical="center"/>
    </xf>
    <xf numFmtId="49" fontId="4" fillId="2" borderId="2" xfId="0" applyNumberFormat="1" applyFont="1" applyFill="1" applyBorder="1" applyAlignment="1" applyProtection="1">
      <alignment horizontal="left" vertical="center"/>
    </xf>
    <xf numFmtId="49" fontId="27" fillId="0" borderId="0" xfId="2" applyNumberFormat="1" applyFont="1" applyBorder="1" applyAlignment="1">
      <alignment horizontal="left"/>
    </xf>
    <xf numFmtId="0" fontId="27" fillId="0" borderId="0" xfId="2" applyFont="1" applyBorder="1" applyAlignment="1">
      <alignment wrapText="1"/>
    </xf>
    <xf numFmtId="49" fontId="27" fillId="0" borderId="17" xfId="2" applyNumberFormat="1" applyFont="1" applyBorder="1" applyAlignment="1">
      <alignment horizontal="left"/>
    </xf>
    <xf numFmtId="0" fontId="27" fillId="0" borderId="17" xfId="2" applyFont="1" applyBorder="1" applyAlignment="1">
      <alignment wrapText="1"/>
    </xf>
    <xf numFmtId="3" fontId="2" fillId="0" borderId="0" xfId="0" applyNumberFormat="1" applyFont="1" applyAlignment="1">
      <alignment vertical="center"/>
    </xf>
    <xf numFmtId="49" fontId="2" fillId="2" borderId="25" xfId="0" applyNumberFormat="1" applyFont="1" applyFill="1" applyBorder="1" applyAlignment="1" applyProtection="1">
      <alignment horizontal="left" vertical="center"/>
    </xf>
    <xf numFmtId="4" fontId="4" fillId="2" borderId="26" xfId="0" applyNumberFormat="1" applyFont="1" applyFill="1" applyBorder="1" applyAlignment="1" applyProtection="1">
      <alignment horizontal="right" vertical="center"/>
    </xf>
    <xf numFmtId="49" fontId="5" fillId="0" borderId="6" xfId="0" applyNumberFormat="1" applyFont="1" applyFill="1" applyBorder="1" applyAlignment="1" applyProtection="1">
      <alignment horizontal="left" vertical="center"/>
    </xf>
    <xf numFmtId="2" fontId="5" fillId="0" borderId="29" xfId="0" applyNumberFormat="1" applyFont="1" applyFill="1" applyBorder="1" applyAlignment="1" applyProtection="1">
      <alignment horizontal="right" vertical="center"/>
    </xf>
    <xf numFmtId="0" fontId="10" fillId="0" borderId="0" xfId="0" applyFont="1" applyBorder="1" applyAlignment="1">
      <alignment wrapText="1"/>
    </xf>
    <xf numFmtId="4" fontId="19" fillId="0" borderId="0" xfId="0" applyNumberFormat="1" applyFont="1" applyBorder="1"/>
    <xf numFmtId="49" fontId="5" fillId="0" borderId="24" xfId="0" applyNumberFormat="1" applyFont="1" applyFill="1" applyBorder="1" applyAlignment="1" applyProtection="1">
      <alignment horizontal="left" vertical="center"/>
    </xf>
    <xf numFmtId="49" fontId="5" fillId="0" borderId="17" xfId="0" applyNumberFormat="1" applyFont="1" applyFill="1" applyBorder="1" applyAlignment="1" applyProtection="1">
      <alignment horizontal="left" vertical="center"/>
    </xf>
    <xf numFmtId="0" fontId="10" fillId="0" borderId="17" xfId="0" applyFont="1" applyBorder="1" applyAlignment="1">
      <alignment wrapText="1"/>
    </xf>
    <xf numFmtId="49" fontId="6" fillId="0" borderId="17" xfId="0" applyNumberFormat="1" applyFont="1" applyFill="1" applyBorder="1" applyAlignment="1" applyProtection="1">
      <alignment horizontal="left" vertical="center"/>
    </xf>
    <xf numFmtId="4" fontId="19" fillId="0" borderId="17" xfId="0" applyNumberFormat="1" applyFont="1" applyBorder="1"/>
    <xf numFmtId="4" fontId="5" fillId="0" borderId="17" xfId="0" applyNumberFormat="1" applyFont="1" applyFill="1" applyBorder="1" applyAlignment="1" applyProtection="1">
      <alignment horizontal="right" vertical="center"/>
    </xf>
    <xf numFmtId="2" fontId="5" fillId="0" borderId="30" xfId="0" applyNumberFormat="1" applyFont="1" applyFill="1" applyBorder="1" applyAlignment="1" applyProtection="1">
      <alignment horizontal="right" vertical="center"/>
    </xf>
    <xf numFmtId="0" fontId="4" fillId="0" borderId="14" xfId="0" applyNumberFormat="1" applyFont="1" applyFill="1" applyBorder="1" applyAlignment="1" applyProtection="1">
      <alignment vertical="center"/>
    </xf>
    <xf numFmtId="0" fontId="4" fillId="0" borderId="15" xfId="0" applyNumberFormat="1" applyFont="1" applyFill="1" applyBorder="1" applyAlignment="1" applyProtection="1">
      <alignment vertical="center"/>
    </xf>
    <xf numFmtId="0" fontId="12" fillId="0" borderId="15" xfId="0" applyNumberFormat="1" applyFont="1" applyFill="1" applyBorder="1" applyAlignment="1" applyProtection="1">
      <alignment vertical="center" wrapText="1"/>
    </xf>
    <xf numFmtId="49" fontId="4" fillId="0" borderId="15" xfId="0" applyNumberFormat="1" applyFont="1" applyFill="1" applyBorder="1" applyAlignment="1" applyProtection="1">
      <alignment horizontal="left" vertical="center"/>
    </xf>
    <xf numFmtId="2" fontId="4" fillId="0" borderId="16" xfId="0" applyNumberFormat="1" applyFont="1" applyFill="1" applyBorder="1" applyAlignment="1" applyProtection="1">
      <alignment horizontal="right" vertical="center"/>
    </xf>
    <xf numFmtId="0" fontId="2" fillId="0" borderId="14" xfId="0" applyFont="1" applyBorder="1" applyAlignment="1">
      <alignment horizontal="left" vertical="center"/>
    </xf>
    <xf numFmtId="0" fontId="2" fillId="0" borderId="15" xfId="0" applyFont="1" applyBorder="1" applyAlignment="1">
      <alignment vertical="center"/>
    </xf>
    <xf numFmtId="0" fontId="2" fillId="0" borderId="15" xfId="0" applyFont="1" applyBorder="1" applyAlignment="1">
      <alignment vertical="center" wrapText="1"/>
    </xf>
    <xf numFmtId="4" fontId="5" fillId="0" borderId="15" xfId="0" applyNumberFormat="1" applyFont="1" applyFill="1" applyBorder="1" applyAlignment="1" applyProtection="1">
      <alignment horizontal="right" vertical="center"/>
    </xf>
    <xf numFmtId="2" fontId="5" fillId="0" borderId="16" xfId="0" applyNumberFormat="1" applyFont="1" applyFill="1" applyBorder="1" applyAlignment="1" applyProtection="1">
      <alignment horizontal="right" vertical="center"/>
    </xf>
    <xf numFmtId="0" fontId="4" fillId="3" borderId="14" xfId="0" applyFont="1" applyFill="1" applyBorder="1" applyAlignment="1">
      <alignment vertical="center"/>
    </xf>
    <xf numFmtId="0" fontId="4" fillId="3" borderId="15" xfId="0" applyFont="1" applyFill="1" applyBorder="1" applyAlignment="1">
      <alignment vertical="center"/>
    </xf>
    <xf numFmtId="4" fontId="4" fillId="3" borderId="15" xfId="0" applyNumberFormat="1" applyFont="1" applyFill="1" applyBorder="1" applyAlignment="1">
      <alignment vertical="center"/>
    </xf>
    <xf numFmtId="164" fontId="4" fillId="3" borderId="16" xfId="0" applyNumberFormat="1" applyFont="1" applyFill="1" applyBorder="1" applyAlignment="1">
      <alignment vertical="center"/>
    </xf>
    <xf numFmtId="49" fontId="17" fillId="0" borderId="14" xfId="0" applyNumberFormat="1" applyFont="1" applyFill="1" applyBorder="1" applyAlignment="1" applyProtection="1">
      <alignment horizontal="center"/>
    </xf>
    <xf numFmtId="49" fontId="17" fillId="0" borderId="15" xfId="0" applyNumberFormat="1" applyFont="1" applyFill="1" applyBorder="1" applyAlignment="1" applyProtection="1">
      <alignment horizontal="center"/>
    </xf>
    <xf numFmtId="49" fontId="25" fillId="0" borderId="15" xfId="0" applyNumberFormat="1" applyFont="1" applyFill="1" applyBorder="1" applyAlignment="1" applyProtection="1">
      <alignment horizontal="center"/>
    </xf>
    <xf numFmtId="49" fontId="16" fillId="0" borderId="15" xfId="0" applyNumberFormat="1" applyFont="1" applyFill="1" applyBorder="1" applyAlignment="1" applyProtection="1">
      <alignment horizontal="right" vertical="center"/>
    </xf>
    <xf numFmtId="49" fontId="16" fillId="0" borderId="15" xfId="0" applyNumberFormat="1" applyFont="1" applyFill="1" applyBorder="1" applyAlignment="1" applyProtection="1">
      <alignment horizontal="center" vertical="center"/>
    </xf>
    <xf numFmtId="49" fontId="16" fillId="0" borderId="16" xfId="0" applyNumberFormat="1" applyFont="1" applyFill="1" applyBorder="1" applyAlignment="1" applyProtection="1">
      <alignment horizontal="center" vertical="center"/>
    </xf>
    <xf numFmtId="49" fontId="9" fillId="0" borderId="6" xfId="0" applyNumberFormat="1" applyFont="1" applyFill="1" applyBorder="1" applyAlignment="1" applyProtection="1">
      <alignment horizontal="left" vertical="center"/>
    </xf>
    <xf numFmtId="49" fontId="9" fillId="0" borderId="29" xfId="0" applyNumberFormat="1" applyFont="1" applyFill="1" applyBorder="1" applyAlignment="1" applyProtection="1">
      <alignment horizontal="center" vertical="center"/>
    </xf>
    <xf numFmtId="49" fontId="9" fillId="2" borderId="6" xfId="0" applyNumberFormat="1" applyFont="1" applyFill="1" applyBorder="1" applyAlignment="1" applyProtection="1">
      <alignment horizontal="left" vertical="center"/>
    </xf>
    <xf numFmtId="4" fontId="9" fillId="2" borderId="29" xfId="0" applyNumberFormat="1" applyFont="1" applyFill="1" applyBorder="1" applyAlignment="1" applyProtection="1">
      <alignment horizontal="right" vertical="center"/>
    </xf>
    <xf numFmtId="4" fontId="9" fillId="0" borderId="29" xfId="0" applyNumberFormat="1" applyFont="1" applyFill="1" applyBorder="1" applyAlignment="1" applyProtection="1">
      <alignment horizontal="right" vertical="center"/>
    </xf>
    <xf numFmtId="0" fontId="10" fillId="0" borderId="0" xfId="0" applyFont="1" applyBorder="1" applyAlignment="1">
      <alignment vertical="center" wrapText="1"/>
    </xf>
    <xf numFmtId="49" fontId="17" fillId="0" borderId="25" xfId="0" applyNumberFormat="1" applyFont="1" applyFill="1" applyBorder="1" applyAlignment="1" applyProtection="1">
      <alignment horizontal="center"/>
    </xf>
    <xf numFmtId="49" fontId="17" fillId="0" borderId="2" xfId="0" applyNumberFormat="1" applyFont="1" applyFill="1" applyBorder="1" applyAlignment="1" applyProtection="1">
      <alignment horizontal="center"/>
    </xf>
    <xf numFmtId="49" fontId="25" fillId="0" borderId="2" xfId="0" applyNumberFormat="1" applyFont="1" applyFill="1" applyBorder="1" applyAlignment="1" applyProtection="1">
      <alignment horizontal="center"/>
    </xf>
    <xf numFmtId="4" fontId="2" fillId="2" borderId="26" xfId="0" applyNumberFormat="1" applyFont="1" applyFill="1" applyBorder="1" applyAlignment="1" applyProtection="1">
      <alignment horizontal="right" vertical="center"/>
    </xf>
    <xf numFmtId="4" fontId="5" fillId="0" borderId="29" xfId="0" applyNumberFormat="1" applyFont="1" applyFill="1" applyBorder="1" applyAlignment="1" applyProtection="1">
      <alignment horizontal="right" vertical="center"/>
    </xf>
    <xf numFmtId="0" fontId="19" fillId="0" borderId="0" xfId="0" applyFont="1" applyBorder="1"/>
    <xf numFmtId="4" fontId="6" fillId="0" borderId="29" xfId="0" applyNumberFormat="1" applyFont="1" applyFill="1" applyBorder="1" applyAlignment="1" applyProtection="1">
      <alignment horizontal="right" vertical="center"/>
    </xf>
    <xf numFmtId="0" fontId="9" fillId="0" borderId="6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29" xfId="0" applyFont="1" applyBorder="1" applyAlignment="1">
      <alignment vertical="center"/>
    </xf>
    <xf numFmtId="49" fontId="2" fillId="2" borderId="6" xfId="0" applyNumberFormat="1" applyFont="1" applyFill="1" applyBorder="1" applyAlignment="1" applyProtection="1">
      <alignment horizontal="left" vertical="center"/>
    </xf>
    <xf numFmtId="4" fontId="2" fillId="2" borderId="29" xfId="0" applyNumberFormat="1" applyFont="1" applyFill="1" applyBorder="1" applyAlignment="1" applyProtection="1">
      <alignment horizontal="right" vertical="center"/>
    </xf>
    <xf numFmtId="0" fontId="22" fillId="0" borderId="0" xfId="0" applyFont="1" applyBorder="1" applyAlignment="1">
      <alignment wrapText="1"/>
    </xf>
    <xf numFmtId="0" fontId="21" fillId="0" borderId="0" xfId="0" applyFont="1" applyBorder="1"/>
    <xf numFmtId="0" fontId="12" fillId="0" borderId="0" xfId="0" applyFont="1" applyAlignment="1">
      <alignment vertical="center" wrapText="1"/>
    </xf>
    <xf numFmtId="0" fontId="10" fillId="0" borderId="25" xfId="0" applyFont="1" applyBorder="1" applyAlignment="1">
      <alignment vertical="center" wrapText="1"/>
    </xf>
    <xf numFmtId="4" fontId="2" fillId="0" borderId="26" xfId="0" applyNumberFormat="1" applyFont="1" applyBorder="1" applyAlignment="1">
      <alignment vertical="center"/>
    </xf>
    <xf numFmtId="0" fontId="10" fillId="0" borderId="6" xfId="0" applyFont="1" applyBorder="1" applyAlignment="1">
      <alignment vertical="center" wrapText="1"/>
    </xf>
    <xf numFmtId="4" fontId="2" fillId="0" borderId="29" xfId="0" applyNumberFormat="1" applyFont="1" applyBorder="1" applyAlignment="1">
      <alignment vertical="center"/>
    </xf>
    <xf numFmtId="0" fontId="10" fillId="0" borderId="24" xfId="0" applyFont="1" applyBorder="1" applyAlignment="1">
      <alignment vertical="center" wrapText="1"/>
    </xf>
    <xf numFmtId="0" fontId="2" fillId="0" borderId="17" xfId="0" applyFont="1" applyBorder="1" applyAlignment="1">
      <alignment vertical="center"/>
    </xf>
    <xf numFmtId="4" fontId="2" fillId="0" borderId="30" xfId="0" applyNumberFormat="1" applyFont="1" applyBorder="1" applyAlignment="1">
      <alignment vertical="center"/>
    </xf>
    <xf numFmtId="0" fontId="16" fillId="0" borderId="14" xfId="0" applyNumberFormat="1" applyFont="1" applyFill="1" applyBorder="1" applyAlignment="1" applyProtection="1">
      <alignment vertical="center"/>
    </xf>
    <xf numFmtId="0" fontId="16" fillId="0" borderId="15" xfId="0" applyNumberFormat="1" applyFont="1" applyFill="1" applyBorder="1" applyAlignment="1" applyProtection="1">
      <alignment vertical="center"/>
    </xf>
    <xf numFmtId="4" fontId="16" fillId="0" borderId="16" xfId="0" applyNumberFormat="1" applyFont="1" applyFill="1" applyBorder="1" applyAlignment="1" applyProtection="1">
      <alignment vertical="center"/>
    </xf>
    <xf numFmtId="49" fontId="2" fillId="0" borderId="35" xfId="0" applyNumberFormat="1" applyFont="1" applyFill="1" applyBorder="1" applyAlignment="1" applyProtection="1">
      <alignment horizontal="center" vertical="center"/>
    </xf>
    <xf numFmtId="49" fontId="2" fillId="0" borderId="29" xfId="0" applyNumberFormat="1" applyFont="1" applyFill="1" applyBorder="1" applyAlignment="1" applyProtection="1">
      <alignment horizontal="center" vertical="center"/>
    </xf>
    <xf numFmtId="0" fontId="8" fillId="0" borderId="29" xfId="0" applyNumberFormat="1" applyFont="1" applyFill="1" applyBorder="1" applyAlignment="1" applyProtection="1">
      <alignment vertical="top"/>
    </xf>
    <xf numFmtId="4" fontId="21" fillId="0" borderId="0" xfId="0" applyNumberFormat="1" applyFont="1" applyBorder="1"/>
    <xf numFmtId="49" fontId="9" fillId="0" borderId="35" xfId="0" applyNumberFormat="1" applyFont="1" applyFill="1" applyBorder="1" applyAlignment="1" applyProtection="1">
      <alignment horizontal="center" vertical="center"/>
    </xf>
    <xf numFmtId="49" fontId="9" fillId="2" borderId="25" xfId="0" applyNumberFormat="1" applyFont="1" applyFill="1" applyBorder="1" applyAlignment="1" applyProtection="1">
      <alignment horizontal="left" vertical="center"/>
    </xf>
    <xf numFmtId="4" fontId="9" fillId="2" borderId="26" xfId="0" applyNumberFormat="1" applyFont="1" applyFill="1" applyBorder="1" applyAlignment="1" applyProtection="1">
      <alignment horizontal="right" vertical="center"/>
    </xf>
    <xf numFmtId="0" fontId="24" fillId="0" borderId="0" xfId="0" applyFont="1" applyBorder="1"/>
    <xf numFmtId="4" fontId="4" fillId="0" borderId="16" xfId="0" applyNumberFormat="1" applyFont="1" applyFill="1" applyBorder="1" applyAlignment="1" applyProtection="1">
      <alignment horizontal="right" vertical="center"/>
    </xf>
    <xf numFmtId="0" fontId="3" fillId="0" borderId="33" xfId="0" applyNumberFormat="1" applyFont="1" applyFill="1" applyBorder="1" applyAlignment="1" applyProtection="1">
      <alignment vertical="center"/>
    </xf>
    <xf numFmtId="0" fontId="3" fillId="0" borderId="34" xfId="0" applyNumberFormat="1" applyFont="1" applyFill="1" applyBorder="1" applyAlignment="1" applyProtection="1">
      <alignment vertical="center"/>
    </xf>
    <xf numFmtId="49" fontId="3" fillId="0" borderId="0" xfId="0" applyNumberFormat="1" applyFont="1" applyFill="1" applyBorder="1" applyAlignment="1" applyProtection="1">
      <alignment horizontal="center"/>
    </xf>
    <xf numFmtId="0" fontId="3" fillId="0" borderId="0" xfId="0" applyNumberFormat="1" applyFont="1" applyFill="1" applyBorder="1" applyAlignment="1" applyProtection="1">
      <alignment horizontal="center" vertical="center"/>
    </xf>
    <xf numFmtId="0" fontId="4" fillId="0" borderId="2" xfId="0" applyNumberFormat="1" applyFont="1" applyFill="1" applyBorder="1" applyAlignment="1" applyProtection="1">
      <alignment horizontal="left" vertical="center" wrapText="1"/>
    </xf>
    <xf numFmtId="0" fontId="4" fillId="0" borderId="0" xfId="0" applyNumberFormat="1" applyFont="1" applyFill="1" applyBorder="1" applyAlignment="1" applyProtection="1">
      <alignment horizontal="left" vertical="center" wrapText="1"/>
    </xf>
    <xf numFmtId="0" fontId="2" fillId="0" borderId="0" xfId="0" applyNumberFormat="1" applyFont="1" applyFill="1" applyBorder="1" applyAlignment="1" applyProtection="1">
      <alignment horizontal="left" vertical="center" wrapText="1"/>
    </xf>
    <xf numFmtId="49" fontId="2" fillId="0" borderId="33" xfId="0" applyNumberFormat="1" applyFont="1" applyFill="1" applyBorder="1" applyAlignment="1" applyProtection="1">
      <alignment horizontal="center" vertical="center"/>
    </xf>
    <xf numFmtId="49" fontId="2" fillId="0" borderId="34" xfId="0" applyNumberFormat="1" applyFont="1" applyFill="1" applyBorder="1" applyAlignment="1" applyProtection="1">
      <alignment horizontal="center" vertical="center"/>
    </xf>
    <xf numFmtId="49" fontId="4" fillId="0" borderId="15" xfId="0" applyNumberFormat="1" applyFont="1" applyFill="1" applyBorder="1" applyAlignment="1" applyProtection="1">
      <alignment horizontal="left" vertical="center"/>
    </xf>
    <xf numFmtId="49" fontId="3" fillId="0" borderId="14" xfId="0" applyNumberFormat="1" applyFont="1" applyFill="1" applyBorder="1" applyAlignment="1" applyProtection="1">
      <alignment horizontal="center"/>
    </xf>
    <xf numFmtId="49" fontId="3" fillId="0" borderId="15" xfId="0" applyNumberFormat="1" applyFont="1" applyFill="1" applyBorder="1" applyAlignment="1" applyProtection="1">
      <alignment horizontal="center"/>
    </xf>
    <xf numFmtId="0" fontId="8" fillId="0" borderId="0" xfId="0" applyNumberFormat="1" applyFont="1" applyFill="1" applyBorder="1" applyAlignment="1" applyProtection="1">
      <alignment horizontal="left" vertical="top" wrapText="1"/>
    </xf>
    <xf numFmtId="49" fontId="2" fillId="2" borderId="0" xfId="0" applyNumberFormat="1" applyFont="1" applyFill="1" applyBorder="1" applyAlignment="1" applyProtection="1">
      <alignment horizontal="left" vertical="center"/>
    </xf>
    <xf numFmtId="0" fontId="2" fillId="2" borderId="0" xfId="0" applyNumberFormat="1" applyFont="1" applyFill="1" applyBorder="1" applyAlignment="1" applyProtection="1">
      <alignment horizontal="left" vertical="center"/>
    </xf>
    <xf numFmtId="49" fontId="2" fillId="0" borderId="32" xfId="0" applyNumberFormat="1" applyFont="1" applyFill="1" applyBorder="1" applyAlignment="1" applyProtection="1">
      <alignment horizontal="center" vertical="center"/>
    </xf>
    <xf numFmtId="0" fontId="2" fillId="0" borderId="33" xfId="0" applyNumberFormat="1" applyFont="1" applyFill="1" applyBorder="1" applyAlignment="1" applyProtection="1">
      <alignment horizontal="center" vertical="center"/>
    </xf>
    <xf numFmtId="0" fontId="2" fillId="0" borderId="34" xfId="0" applyNumberFormat="1" applyFont="1" applyFill="1" applyBorder="1" applyAlignment="1" applyProtection="1">
      <alignment horizontal="center" vertical="center"/>
    </xf>
    <xf numFmtId="49" fontId="9" fillId="0" borderId="33" xfId="0" applyNumberFormat="1" applyFont="1" applyFill="1" applyBorder="1" applyAlignment="1" applyProtection="1">
      <alignment horizontal="center" vertical="center"/>
    </xf>
    <xf numFmtId="49" fontId="9" fillId="0" borderId="34" xfId="0" applyNumberFormat="1" applyFont="1" applyFill="1" applyBorder="1" applyAlignment="1" applyProtection="1">
      <alignment horizontal="center" vertical="center"/>
    </xf>
    <xf numFmtId="49" fontId="9" fillId="2" borderId="2" xfId="0" applyNumberFormat="1" applyFont="1" applyFill="1" applyBorder="1" applyAlignment="1" applyProtection="1">
      <alignment horizontal="left" vertical="center"/>
    </xf>
    <xf numFmtId="0" fontId="9" fillId="2" borderId="2" xfId="0" applyNumberFormat="1" applyFont="1" applyFill="1" applyBorder="1" applyAlignment="1" applyProtection="1">
      <alignment horizontal="left" vertical="center"/>
    </xf>
    <xf numFmtId="49" fontId="9" fillId="2" borderId="0" xfId="0" applyNumberFormat="1" applyFont="1" applyFill="1" applyBorder="1" applyAlignment="1" applyProtection="1">
      <alignment horizontal="left" vertical="center"/>
    </xf>
    <xf numFmtId="0" fontId="9" fillId="2" borderId="0" xfId="0" applyNumberFormat="1" applyFont="1" applyFill="1" applyBorder="1" applyAlignment="1" applyProtection="1">
      <alignment horizontal="left" vertical="center"/>
    </xf>
    <xf numFmtId="49" fontId="16" fillId="0" borderId="15" xfId="0" applyNumberFormat="1" applyFont="1" applyFill="1" applyBorder="1" applyAlignment="1" applyProtection="1">
      <alignment horizontal="left" vertical="center"/>
    </xf>
    <xf numFmtId="0" fontId="18" fillId="0" borderId="0" xfId="0" applyNumberFormat="1" applyFont="1" applyFill="1" applyBorder="1" applyAlignment="1" applyProtection="1">
      <alignment horizontal="left" vertical="top" wrapText="1"/>
    </xf>
    <xf numFmtId="0" fontId="18" fillId="0" borderId="29" xfId="0" applyNumberFormat="1" applyFont="1" applyFill="1" applyBorder="1" applyAlignment="1" applyProtection="1">
      <alignment horizontal="left" vertical="top" wrapText="1"/>
    </xf>
    <xf numFmtId="49" fontId="17" fillId="0" borderId="17" xfId="0" applyNumberFormat="1" applyFont="1" applyFill="1" applyBorder="1" applyAlignment="1" applyProtection="1">
      <alignment horizontal="left"/>
    </xf>
    <xf numFmtId="49" fontId="9" fillId="0" borderId="32" xfId="0" applyNumberFormat="1" applyFont="1" applyFill="1" applyBorder="1" applyAlignment="1" applyProtection="1">
      <alignment horizontal="center" vertical="center"/>
    </xf>
    <xf numFmtId="0" fontId="9" fillId="0" borderId="33" xfId="0" applyNumberFormat="1" applyFont="1" applyFill="1" applyBorder="1" applyAlignment="1" applyProtection="1">
      <alignment horizontal="center" vertical="center"/>
    </xf>
    <xf numFmtId="0" fontId="9" fillId="0" borderId="34" xfId="0" applyNumberFormat="1" applyFont="1" applyFill="1" applyBorder="1" applyAlignment="1" applyProtection="1">
      <alignment horizontal="center" vertical="center"/>
    </xf>
    <xf numFmtId="49" fontId="3" fillId="0" borderId="17" xfId="0" applyNumberFormat="1" applyFont="1" applyFill="1" applyBorder="1" applyAlignment="1" applyProtection="1">
      <alignment horizontal="left"/>
    </xf>
    <xf numFmtId="49" fontId="2" fillId="2" borderId="2" xfId="0" applyNumberFormat="1" applyFont="1" applyFill="1" applyBorder="1" applyAlignment="1" applyProtection="1">
      <alignment horizontal="left" vertical="center"/>
    </xf>
    <xf numFmtId="0" fontId="2" fillId="2" borderId="2" xfId="0" applyNumberFormat="1" applyFont="1" applyFill="1" applyBorder="1" applyAlignment="1" applyProtection="1">
      <alignment horizontal="left" vertical="center"/>
    </xf>
    <xf numFmtId="44" fontId="28" fillId="0" borderId="15" xfId="0" applyNumberFormat="1" applyFont="1" applyFill="1" applyBorder="1" applyAlignment="1" applyProtection="1">
      <alignment horizontal="center" vertical="center"/>
    </xf>
    <xf numFmtId="44" fontId="28" fillId="0" borderId="16" xfId="0" applyNumberFormat="1" applyFont="1" applyFill="1" applyBorder="1" applyAlignment="1" applyProtection="1">
      <alignment horizontal="center" vertical="center"/>
    </xf>
    <xf numFmtId="49" fontId="4" fillId="2" borderId="2" xfId="0" applyNumberFormat="1" applyFont="1" applyFill="1" applyBorder="1" applyAlignment="1" applyProtection="1">
      <alignment horizontal="left" vertical="center"/>
    </xf>
    <xf numFmtId="0" fontId="4" fillId="2" borderId="2" xfId="0" applyNumberFormat="1" applyFont="1" applyFill="1" applyBorder="1" applyAlignment="1" applyProtection="1">
      <alignment horizontal="left" vertical="center"/>
    </xf>
    <xf numFmtId="49" fontId="17" fillId="0" borderId="0" xfId="0" applyNumberFormat="1" applyFont="1" applyFill="1" applyBorder="1" applyAlignment="1" applyProtection="1">
      <alignment horizontal="center"/>
    </xf>
    <xf numFmtId="49" fontId="2" fillId="0" borderId="0" xfId="0" applyNumberFormat="1" applyFont="1" applyFill="1" applyBorder="1" applyAlignment="1" applyProtection="1">
      <alignment horizontal="left" vertical="center"/>
    </xf>
    <xf numFmtId="49" fontId="4" fillId="0" borderId="32" xfId="0" applyNumberFormat="1" applyFont="1" applyFill="1" applyBorder="1" applyAlignment="1" applyProtection="1">
      <alignment horizontal="center" vertical="center"/>
    </xf>
    <xf numFmtId="0" fontId="4" fillId="0" borderId="33" xfId="0" applyNumberFormat="1" applyFont="1" applyFill="1" applyBorder="1" applyAlignment="1" applyProtection="1">
      <alignment horizontal="center" vertical="center"/>
    </xf>
    <xf numFmtId="0" fontId="4" fillId="0" borderId="34" xfId="0" applyNumberFormat="1" applyFont="1" applyFill="1" applyBorder="1" applyAlignment="1" applyProtection="1">
      <alignment horizontal="center" vertical="center"/>
    </xf>
    <xf numFmtId="49" fontId="4" fillId="2" borderId="0" xfId="0" applyNumberFormat="1" applyFont="1" applyFill="1" applyBorder="1" applyAlignment="1" applyProtection="1">
      <alignment horizontal="left" vertical="center"/>
    </xf>
    <xf numFmtId="0" fontId="4" fillId="2" borderId="0" xfId="0" applyNumberFormat="1" applyFont="1" applyFill="1" applyBorder="1" applyAlignment="1" applyProtection="1">
      <alignment horizontal="left" vertical="center"/>
    </xf>
  </cellXfs>
  <cellStyles count="3">
    <cellStyle name="Normální" xfId="0" builtinId="0"/>
    <cellStyle name="Normální 2" xfId="1"/>
    <cellStyle name="normální_POL.XLS" xfId="2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000000"/>
      <rgbColor rgb="00000000"/>
      <rgbColor rgb="00000000"/>
      <rgbColor rgb="00000000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1"/>
  <sheetViews>
    <sheetView workbookViewId="0">
      <selection activeCell="K21" sqref="K21"/>
    </sheetView>
  </sheetViews>
  <sheetFormatPr defaultColWidth="11.5703125" defaultRowHeight="12.75" x14ac:dyDescent="0.2"/>
  <cols>
    <col min="1" max="1" width="21.85546875" customWidth="1"/>
    <col min="2" max="2" width="7" customWidth="1"/>
    <col min="3" max="3" width="41.7109375" customWidth="1"/>
    <col min="4" max="4" width="20.85546875" customWidth="1"/>
    <col min="5" max="5" width="21" customWidth="1"/>
    <col min="6" max="6" width="20.85546875" customWidth="1"/>
    <col min="7" max="8" width="0" hidden="1" customWidth="1"/>
  </cols>
  <sheetData>
    <row r="1" spans="1:12" ht="72.95" customHeight="1" thickBot="1" x14ac:dyDescent="0.4">
      <c r="A1" s="288" t="s">
        <v>419</v>
      </c>
      <c r="B1" s="289"/>
      <c r="C1" s="289"/>
      <c r="D1" s="289"/>
      <c r="E1" s="289"/>
      <c r="F1" s="289"/>
    </row>
    <row r="2" spans="1:12" ht="12.75" customHeight="1" x14ac:dyDescent="0.2">
      <c r="A2" s="128" t="s">
        <v>0</v>
      </c>
      <c r="B2" s="290" t="s">
        <v>1</v>
      </c>
      <c r="C2" s="290"/>
      <c r="D2" s="129"/>
      <c r="E2" s="130" t="s">
        <v>2</v>
      </c>
      <c r="F2" s="131" t="s">
        <v>12</v>
      </c>
      <c r="G2" s="70"/>
      <c r="H2" s="5"/>
    </row>
    <row r="3" spans="1:12" x14ac:dyDescent="0.2">
      <c r="A3" s="13"/>
      <c r="B3" s="291"/>
      <c r="C3" s="291"/>
      <c r="D3" s="71"/>
      <c r="E3" s="33"/>
      <c r="F3" s="132"/>
      <c r="G3" s="33"/>
      <c r="H3" s="33"/>
    </row>
    <row r="4" spans="1:12" ht="12.75" customHeight="1" x14ac:dyDescent="0.2">
      <c r="A4" s="133" t="s">
        <v>13</v>
      </c>
      <c r="B4" s="292" t="s">
        <v>14</v>
      </c>
      <c r="C4" s="292"/>
      <c r="D4" s="56"/>
      <c r="E4" s="56" t="s">
        <v>3</v>
      </c>
      <c r="F4" s="132" t="s">
        <v>15</v>
      </c>
      <c r="G4" s="72"/>
      <c r="H4" s="33"/>
    </row>
    <row r="5" spans="1:12" x14ac:dyDescent="0.2">
      <c r="A5" s="13"/>
      <c r="B5" s="33"/>
      <c r="C5" s="33"/>
      <c r="D5" s="33"/>
      <c r="E5" s="33"/>
      <c r="F5" s="134"/>
      <c r="G5" s="33"/>
      <c r="H5" s="33"/>
    </row>
    <row r="6" spans="1:12" ht="25.5" customHeight="1" x14ac:dyDescent="0.2">
      <c r="A6" s="133" t="s">
        <v>4</v>
      </c>
      <c r="B6" s="292" t="s">
        <v>16</v>
      </c>
      <c r="C6" s="292"/>
      <c r="D6" s="56"/>
      <c r="E6" s="56" t="s">
        <v>5</v>
      </c>
      <c r="F6" s="132"/>
      <c r="G6" s="33"/>
      <c r="H6" s="33"/>
    </row>
    <row r="7" spans="1:12" x14ac:dyDescent="0.2">
      <c r="A7" s="13"/>
      <c r="B7" s="33"/>
      <c r="C7" s="33"/>
      <c r="D7" s="33"/>
      <c r="E7" s="33"/>
      <c r="F7" s="134"/>
      <c r="G7" s="33"/>
      <c r="H7" s="33"/>
    </row>
    <row r="8" spans="1:12" ht="12.75" customHeight="1" x14ac:dyDescent="0.2">
      <c r="A8" s="133" t="s">
        <v>6</v>
      </c>
      <c r="B8" s="33"/>
      <c r="C8" s="73" t="s">
        <v>418</v>
      </c>
      <c r="D8" s="101"/>
      <c r="E8" s="56" t="s">
        <v>7</v>
      </c>
      <c r="F8" s="132" t="s">
        <v>15</v>
      </c>
      <c r="G8" s="72">
        <v>42078</v>
      </c>
      <c r="H8" s="33"/>
    </row>
    <row r="9" spans="1:12" ht="13.5" thickBot="1" x14ac:dyDescent="0.25">
      <c r="A9" s="135"/>
      <c r="B9" s="57"/>
      <c r="C9" s="57"/>
      <c r="D9" s="57"/>
      <c r="E9" s="57"/>
      <c r="F9" s="136"/>
      <c r="G9" s="57"/>
      <c r="H9" s="57"/>
    </row>
    <row r="10" spans="1:12" ht="13.5" thickBot="1" x14ac:dyDescent="0.25">
      <c r="A10" s="123"/>
      <c r="B10" s="144"/>
      <c r="C10" s="144" t="s">
        <v>17</v>
      </c>
      <c r="D10" s="144"/>
      <c r="E10" s="16"/>
      <c r="F10" s="145"/>
      <c r="G10" s="33"/>
      <c r="H10" s="33"/>
    </row>
    <row r="11" spans="1:12" ht="13.5" thickBot="1" x14ac:dyDescent="0.25">
      <c r="A11" s="137" t="s">
        <v>13</v>
      </c>
      <c r="B11" s="74" t="s">
        <v>18</v>
      </c>
      <c r="C11" s="75" t="s">
        <v>19</v>
      </c>
      <c r="D11" s="76" t="s">
        <v>20</v>
      </c>
      <c r="E11" s="60" t="s">
        <v>21</v>
      </c>
      <c r="F11" s="61" t="s">
        <v>22</v>
      </c>
    </row>
    <row r="12" spans="1:12" x14ac:dyDescent="0.2">
      <c r="A12" s="138" t="s">
        <v>23</v>
      </c>
      <c r="B12" s="77" t="s">
        <v>24</v>
      </c>
      <c r="C12" s="77" t="s">
        <v>25</v>
      </c>
      <c r="D12" s="78">
        <f>palackého!H6+Wolkerovo!H5</f>
        <v>0</v>
      </c>
      <c r="E12" s="29">
        <f>palackého!I5+Wolkerovo!I5</f>
        <v>0</v>
      </c>
      <c r="F12" s="190">
        <f>SUM(D12:E12)</f>
        <v>0</v>
      </c>
      <c r="G12" s="14" t="e">
        <f>IF(#REF!="T",0,F12)</f>
        <v>#REF!</v>
      </c>
      <c r="J12" s="30"/>
    </row>
    <row r="13" spans="1:12" x14ac:dyDescent="0.2">
      <c r="A13" s="127"/>
      <c r="B13" s="181" t="s">
        <v>26</v>
      </c>
      <c r="C13" s="181" t="s">
        <v>27</v>
      </c>
      <c r="D13" s="14">
        <f>Wolkerovo!H11</f>
        <v>0</v>
      </c>
      <c r="E13" s="14">
        <f>Wolkerovo!I11</f>
        <v>0</v>
      </c>
      <c r="F13" s="191">
        <f>SUM(D13:E13)</f>
        <v>0</v>
      </c>
      <c r="G13" s="14" t="e">
        <f>IF(#REF!="T",0,F13)</f>
        <v>#REF!</v>
      </c>
      <c r="J13" s="30"/>
    </row>
    <row r="14" spans="1:12" x14ac:dyDescent="0.2">
      <c r="A14" s="127"/>
      <c r="B14" s="181" t="s">
        <v>28</v>
      </c>
      <c r="C14" s="181" t="s">
        <v>29</v>
      </c>
      <c r="D14" s="14">
        <f>Ružove!H5+palackého!H7+Wolkerovo!H12</f>
        <v>0</v>
      </c>
      <c r="E14" s="14">
        <f>Ružove!I5+Wolkerovo!I12+palackého!I7</f>
        <v>0</v>
      </c>
      <c r="F14" s="191">
        <f>SUM(D14:E14)</f>
        <v>0</v>
      </c>
      <c r="G14" s="14" t="e">
        <f>IF(#REF!="T",0,F14)</f>
        <v>#REF!</v>
      </c>
      <c r="J14" s="103"/>
      <c r="L14" s="30"/>
    </row>
    <row r="15" spans="1:12" x14ac:dyDescent="0.2">
      <c r="A15" s="127"/>
      <c r="B15" s="181" t="s">
        <v>30</v>
      </c>
      <c r="C15" s="181" t="s">
        <v>31</v>
      </c>
      <c r="D15" s="14">
        <f>palackého!H34</f>
        <v>0</v>
      </c>
      <c r="E15" s="86">
        <f>palackého!I35</f>
        <v>0</v>
      </c>
      <c r="F15" s="192">
        <f>SUM(D15:E15)</f>
        <v>0</v>
      </c>
      <c r="G15" s="14" t="e">
        <f>IF(#REF!="T",0,F15)</f>
        <v>#REF!</v>
      </c>
      <c r="J15" s="30"/>
    </row>
    <row r="16" spans="1:12" x14ac:dyDescent="0.2">
      <c r="A16" s="139" t="s">
        <v>32</v>
      </c>
      <c r="B16" s="84"/>
      <c r="C16" s="84"/>
      <c r="D16" s="85">
        <f>SUM(D12:D15)</f>
        <v>0</v>
      </c>
      <c r="E16" s="86">
        <f>SUM(E12:E15)</f>
        <v>0</v>
      </c>
      <c r="F16" s="192">
        <f>SUM(F12:F15)</f>
        <v>0</v>
      </c>
      <c r="G16" s="14"/>
      <c r="J16" s="103"/>
    </row>
    <row r="17" spans="1:10" x14ac:dyDescent="0.2">
      <c r="A17" s="127" t="s">
        <v>406</v>
      </c>
      <c r="B17" s="181" t="s">
        <v>24</v>
      </c>
      <c r="C17" s="181" t="s">
        <v>25</v>
      </c>
      <c r="D17" s="14">
        <f>DVP!H4</f>
        <v>0</v>
      </c>
      <c r="E17" s="14">
        <f>DVP!I4</f>
        <v>0</v>
      </c>
      <c r="F17" s="191">
        <f>SUM(D17:E17)</f>
        <v>0</v>
      </c>
      <c r="G17" s="14" t="e">
        <f>IF(#REF!="T",0,F17)</f>
        <v>#REF!</v>
      </c>
    </row>
    <row r="18" spans="1:10" x14ac:dyDescent="0.2">
      <c r="A18" s="102"/>
      <c r="B18" s="101"/>
      <c r="C18" s="101" t="s">
        <v>39</v>
      </c>
      <c r="D18" s="101">
        <v>0</v>
      </c>
      <c r="E18" s="107">
        <f>DVP!I11</f>
        <v>0</v>
      </c>
      <c r="F18" s="194">
        <f>SUM(D18:E18)</f>
        <v>0</v>
      </c>
    </row>
    <row r="19" spans="1:10" ht="13.5" thickBot="1" x14ac:dyDescent="0.25">
      <c r="A19" s="139" t="s">
        <v>40</v>
      </c>
      <c r="B19" s="84"/>
      <c r="C19" s="84"/>
      <c r="D19" s="85">
        <f>SUM(D17:D18)</f>
        <v>0</v>
      </c>
      <c r="E19" s="85">
        <f>SUM(E17:E18)</f>
        <v>0</v>
      </c>
      <c r="F19" s="193">
        <f>SUM(D19:E19)</f>
        <v>0</v>
      </c>
      <c r="G19" s="14"/>
      <c r="I19" s="212"/>
    </row>
    <row r="20" spans="1:10" s="80" customFormat="1" x14ac:dyDescent="0.2">
      <c r="A20" s="127" t="s">
        <v>33</v>
      </c>
      <c r="B20" s="181" t="s">
        <v>26</v>
      </c>
      <c r="C20" s="79" t="s">
        <v>27</v>
      </c>
      <c r="D20" s="45">
        <f>Wolkerovo!H76</f>
        <v>0</v>
      </c>
      <c r="E20" s="45">
        <f>Wolkerovo!I76</f>
        <v>0</v>
      </c>
      <c r="F20" s="191">
        <f>SUM(D20:E20)</f>
        <v>0</v>
      </c>
      <c r="G20" s="78" t="e">
        <f>#REF!+#REF!</f>
        <v>#REF!</v>
      </c>
      <c r="H20" s="15"/>
      <c r="J20" s="30"/>
    </row>
    <row r="21" spans="1:10" s="80" customFormat="1" ht="25.5" x14ac:dyDescent="0.2">
      <c r="A21" s="127"/>
      <c r="B21" s="181" t="s">
        <v>34</v>
      </c>
      <c r="C21" s="79" t="s">
        <v>35</v>
      </c>
      <c r="D21" s="45">
        <f>Wolkerovo!H79</f>
        <v>0</v>
      </c>
      <c r="E21" s="45">
        <f>Wolkerovo!I79</f>
        <v>0</v>
      </c>
      <c r="F21" s="191">
        <f>SUM(D21:E21)</f>
        <v>0</v>
      </c>
      <c r="G21" s="14" t="e">
        <f>#REF!+#REF!</f>
        <v>#REF!</v>
      </c>
      <c r="H21" s="15"/>
      <c r="J21" s="30"/>
    </row>
    <row r="22" spans="1:10" s="80" customFormat="1" ht="25.5" x14ac:dyDescent="0.2">
      <c r="A22" s="127"/>
      <c r="B22" s="181" t="s">
        <v>36</v>
      </c>
      <c r="C22" s="79" t="s">
        <v>37</v>
      </c>
      <c r="D22" s="45" t="s">
        <v>386</v>
      </c>
      <c r="E22" s="45"/>
      <c r="F22" s="191"/>
      <c r="G22" s="14" t="e">
        <f>#REF!+#REF!</f>
        <v>#REF!</v>
      </c>
      <c r="H22" s="15"/>
      <c r="J22" s="30"/>
    </row>
    <row r="23" spans="1:10" x14ac:dyDescent="0.2">
      <c r="A23" s="139" t="s">
        <v>38</v>
      </c>
      <c r="B23" s="84"/>
      <c r="C23" s="84"/>
      <c r="D23" s="85">
        <f>SUM(D20:D22)</f>
        <v>0</v>
      </c>
      <c r="E23" s="85">
        <f>SUM(E20:E22)</f>
        <v>0</v>
      </c>
      <c r="F23" s="193">
        <f>SUM(F20:F22)</f>
        <v>0</v>
      </c>
      <c r="G23" s="14"/>
      <c r="J23" s="30"/>
    </row>
    <row r="24" spans="1:10" x14ac:dyDescent="0.2">
      <c r="A24" s="127"/>
      <c r="B24" s="181"/>
      <c r="C24" s="181"/>
      <c r="D24" s="14"/>
      <c r="E24" s="14"/>
      <c r="F24" s="191">
        <f>F19+F23+F16</f>
        <v>0</v>
      </c>
      <c r="G24" s="14"/>
    </row>
    <row r="25" spans="1:10" x14ac:dyDescent="0.2">
      <c r="A25" s="127" t="s">
        <v>41</v>
      </c>
      <c r="B25" s="181" t="s">
        <v>24</v>
      </c>
      <c r="C25" s="181" t="s">
        <v>42</v>
      </c>
      <c r="D25" s="14">
        <f>DVP!H7</f>
        <v>0</v>
      </c>
      <c r="E25" s="14">
        <f>'Péče v prvních 3 letech'!J21</f>
        <v>0</v>
      </c>
      <c r="F25" s="191">
        <f>SUM(D25:E25)</f>
        <v>0</v>
      </c>
      <c r="G25" s="14" t="e">
        <f>IF(#REF!="T",0,F25)</f>
        <v>#REF!</v>
      </c>
    </row>
    <row r="26" spans="1:10" ht="13.5" thickBot="1" x14ac:dyDescent="0.25">
      <c r="A26" s="140" t="s">
        <v>43</v>
      </c>
      <c r="B26" s="105"/>
      <c r="C26" s="105"/>
      <c r="D26" s="29">
        <f>SUM(D25:D25)</f>
        <v>0</v>
      </c>
      <c r="E26" s="29">
        <f>SUM(E25:E25)</f>
        <v>0</v>
      </c>
      <c r="F26" s="190">
        <f>SUM(D26:E26)</f>
        <v>0</v>
      </c>
      <c r="G26" s="14"/>
    </row>
    <row r="27" spans="1:10" x14ac:dyDescent="0.2">
      <c r="A27" s="114" t="s">
        <v>44</v>
      </c>
      <c r="B27" s="116"/>
      <c r="C27" s="116"/>
      <c r="D27" s="117">
        <f>D26+D23+D16+D19</f>
        <v>0</v>
      </c>
      <c r="E27" s="117">
        <f>E26+E23+E16+E19</f>
        <v>0</v>
      </c>
      <c r="F27" s="195">
        <f>F26+F23+F16+F19</f>
        <v>0</v>
      </c>
      <c r="J27" s="30"/>
    </row>
    <row r="28" spans="1:10" ht="13.5" thickBot="1" x14ac:dyDescent="0.25">
      <c r="A28" s="115" t="s">
        <v>45</v>
      </c>
      <c r="B28" s="118"/>
      <c r="C28" s="118"/>
      <c r="D28" s="119"/>
      <c r="E28" s="119"/>
      <c r="F28" s="196">
        <f>F27*0.21</f>
        <v>0</v>
      </c>
      <c r="J28" s="30"/>
    </row>
    <row r="29" spans="1:10" ht="13.5" thickBot="1" x14ac:dyDescent="0.25">
      <c r="A29" s="108" t="s">
        <v>46</v>
      </c>
      <c r="B29" s="109"/>
      <c r="C29" s="109"/>
      <c r="D29" s="110"/>
      <c r="E29" s="110"/>
      <c r="F29" s="197">
        <f>F28+F27</f>
        <v>0</v>
      </c>
      <c r="J29" s="30"/>
    </row>
    <row r="30" spans="1:10" s="101" customFormat="1" ht="13.5" thickBot="1" x14ac:dyDescent="0.25">
      <c r="A30" s="69"/>
      <c r="B30" s="142"/>
      <c r="C30" s="142"/>
      <c r="D30" s="143"/>
      <c r="E30" s="143"/>
      <c r="F30" s="37"/>
      <c r="J30" s="107"/>
    </row>
    <row r="31" spans="1:10" x14ac:dyDescent="0.2">
      <c r="A31" s="123"/>
      <c r="B31" s="123"/>
      <c r="C31" s="120" t="s">
        <v>47</v>
      </c>
      <c r="D31" s="121"/>
      <c r="E31" s="121"/>
      <c r="F31" s="124"/>
      <c r="J31" s="30"/>
    </row>
    <row r="32" spans="1:10" x14ac:dyDescent="0.2">
      <c r="A32" s="125" t="s">
        <v>13</v>
      </c>
      <c r="B32" s="122" t="s">
        <v>18</v>
      </c>
      <c r="C32" s="122" t="s">
        <v>19</v>
      </c>
      <c r="D32" s="122" t="s">
        <v>20</v>
      </c>
      <c r="E32" s="122" t="s">
        <v>21</v>
      </c>
      <c r="F32" s="126" t="s">
        <v>22</v>
      </c>
    </row>
    <row r="33" spans="1:12" x14ac:dyDescent="0.2">
      <c r="A33" s="102" t="s">
        <v>23</v>
      </c>
      <c r="B33" s="101" t="s">
        <v>24</v>
      </c>
      <c r="C33" s="101" t="s">
        <v>25</v>
      </c>
      <c r="D33" s="107">
        <f>Neuznatelné!H30</f>
        <v>0</v>
      </c>
      <c r="E33" s="14">
        <f>Neuznatelné!I30</f>
        <v>0</v>
      </c>
      <c r="F33" s="191">
        <f>SUM(D33:E33)</f>
        <v>0</v>
      </c>
      <c r="G33" s="14" t="e">
        <f>IF(#REF!="T",0,F33)</f>
        <v>#REF!</v>
      </c>
    </row>
    <row r="34" spans="1:12" x14ac:dyDescent="0.2">
      <c r="A34" s="127"/>
      <c r="B34" s="181" t="s">
        <v>28</v>
      </c>
      <c r="C34" s="181" t="s">
        <v>29</v>
      </c>
      <c r="D34" s="14">
        <f>Neuznatelné!H32+Neuznatelné!H6+Neuznatelné!H69</f>
        <v>0</v>
      </c>
      <c r="E34" s="14">
        <f>Neuznatelné!I6+Neuznatelné!I32+Neuznatelné!I69</f>
        <v>0</v>
      </c>
      <c r="F34" s="191">
        <f>SUM(D34:E34)</f>
        <v>0</v>
      </c>
      <c r="G34" s="14" t="e">
        <f>IF(#REF!="T",0,F34)</f>
        <v>#REF!</v>
      </c>
    </row>
    <row r="35" spans="1:12" x14ac:dyDescent="0.2">
      <c r="A35" s="125" t="s">
        <v>32</v>
      </c>
      <c r="B35" s="122"/>
      <c r="C35" s="122"/>
      <c r="D35" s="122">
        <f>SUM(D33:D34)</f>
        <v>0</v>
      </c>
      <c r="E35" s="141">
        <f>SUM(E33:E34)</f>
        <v>0</v>
      </c>
      <c r="F35" s="198">
        <f>SUM(F33:F34)</f>
        <v>0</v>
      </c>
      <c r="G35" s="14"/>
    </row>
    <row r="36" spans="1:12" x14ac:dyDescent="0.2">
      <c r="A36" s="127" t="s">
        <v>406</v>
      </c>
      <c r="B36" s="203" t="s">
        <v>24</v>
      </c>
      <c r="C36" s="203" t="s">
        <v>25</v>
      </c>
      <c r="D36" s="14">
        <f>Neuznatelné!H94</f>
        <v>0</v>
      </c>
      <c r="E36" s="14">
        <f>Neuznatelné!I94</f>
        <v>0</v>
      </c>
      <c r="F36" s="191">
        <f>SUM(D36:E36)</f>
        <v>0</v>
      </c>
      <c r="G36" s="14" t="e">
        <f>IF(#REF!="T",0,F36)</f>
        <v>#REF!</v>
      </c>
    </row>
    <row r="37" spans="1:12" x14ac:dyDescent="0.2">
      <c r="A37" s="139" t="s">
        <v>40</v>
      </c>
      <c r="B37" s="84"/>
      <c r="C37" s="84"/>
      <c r="D37" s="85">
        <f>SUM(D36:D36)</f>
        <v>0</v>
      </c>
      <c r="E37" s="85">
        <f>SUM(E36:E36)</f>
        <v>0</v>
      </c>
      <c r="F37" s="193">
        <f>SUM(D37:E37)</f>
        <v>0</v>
      </c>
      <c r="G37" s="14"/>
      <c r="I37" s="212"/>
    </row>
    <row r="38" spans="1:12" x14ac:dyDescent="0.2">
      <c r="A38" s="127" t="s">
        <v>33</v>
      </c>
      <c r="B38" s="181" t="s">
        <v>26</v>
      </c>
      <c r="C38" s="101" t="s">
        <v>27</v>
      </c>
      <c r="D38" s="45">
        <f>Neuznatelné!H58</f>
        <v>0</v>
      </c>
      <c r="E38" s="45">
        <f>Neuznatelné!I58</f>
        <v>0</v>
      </c>
      <c r="F38" s="191">
        <f>SUM(D38:E38)</f>
        <v>0</v>
      </c>
      <c r="G38" t="e">
        <f>#REF!+#REF!</f>
        <v>#REF!</v>
      </c>
      <c r="H38" s="15"/>
    </row>
    <row r="39" spans="1:12" x14ac:dyDescent="0.2">
      <c r="A39" s="127"/>
      <c r="B39" s="181" t="s">
        <v>34</v>
      </c>
      <c r="C39" s="101" t="s">
        <v>35</v>
      </c>
      <c r="D39" s="45">
        <f>Neuznatelné!H86+Neuznatelné!H60</f>
        <v>0</v>
      </c>
      <c r="E39" s="45">
        <f>Neuznatelné!I60+Neuznatelné!I86</f>
        <v>0</v>
      </c>
      <c r="F39" s="191">
        <f>SUM(D39:E39)</f>
        <v>0</v>
      </c>
      <c r="G39" s="14" t="e">
        <f>#REF!+#REF!</f>
        <v>#REF!</v>
      </c>
      <c r="H39" s="15"/>
    </row>
    <row r="40" spans="1:12" x14ac:dyDescent="0.2">
      <c r="A40" s="127"/>
      <c r="B40" s="181" t="s">
        <v>36</v>
      </c>
      <c r="C40" s="101" t="s">
        <v>37</v>
      </c>
      <c r="D40" s="45">
        <f>Neuznatelné!H63+Neuznatelné!H89</f>
        <v>0</v>
      </c>
      <c r="E40" s="45">
        <f>Neuznatelné!I89+Neuznatelné!I63</f>
        <v>0</v>
      </c>
      <c r="F40" s="191">
        <f>SUM(D40:E40)</f>
        <v>0</v>
      </c>
      <c r="G40" s="14" t="e">
        <f>#REF!+#REF!</f>
        <v>#REF!</v>
      </c>
      <c r="H40" s="15"/>
    </row>
    <row r="41" spans="1:12" x14ac:dyDescent="0.2">
      <c r="A41" s="125" t="s">
        <v>38</v>
      </c>
      <c r="B41" s="122"/>
      <c r="C41" s="122"/>
      <c r="D41" s="141">
        <f>SUM(D38:D40)</f>
        <v>0</v>
      </c>
      <c r="E41" s="141">
        <f>SUM(E38:E40)</f>
        <v>0</v>
      </c>
      <c r="F41" s="198">
        <f>SUM(F38:F40)</f>
        <v>0</v>
      </c>
      <c r="G41" s="14"/>
      <c r="K41" s="30"/>
    </row>
    <row r="42" spans="1:12" x14ac:dyDescent="0.2">
      <c r="A42" s="106" t="s">
        <v>48</v>
      </c>
      <c r="B42" s="101"/>
      <c r="C42" s="101"/>
      <c r="D42" s="107">
        <f>D41+D35</f>
        <v>0</v>
      </c>
      <c r="E42" s="107">
        <f>E41+E35</f>
        <v>0</v>
      </c>
      <c r="F42" s="199">
        <f>F41+F35+F37</f>
        <v>0</v>
      </c>
      <c r="J42" s="30"/>
      <c r="L42" s="30"/>
    </row>
    <row r="43" spans="1:12" ht="13.5" thickBot="1" x14ac:dyDescent="0.25">
      <c r="A43" s="115" t="s">
        <v>45</v>
      </c>
      <c r="B43" s="118"/>
      <c r="C43" s="118"/>
      <c r="D43" s="119"/>
      <c r="E43" s="119"/>
      <c r="F43" s="196">
        <f>F42*0.21</f>
        <v>0</v>
      </c>
      <c r="J43" s="30"/>
    </row>
    <row r="44" spans="1:12" ht="13.5" thickBot="1" x14ac:dyDescent="0.25">
      <c r="A44" s="111" t="s">
        <v>49</v>
      </c>
      <c r="B44" s="112"/>
      <c r="C44" s="112"/>
      <c r="D44" s="113"/>
      <c r="E44" s="113"/>
      <c r="F44" s="200">
        <f>F42*1.21</f>
        <v>0</v>
      </c>
      <c r="J44" s="30"/>
    </row>
    <row r="45" spans="1:12" ht="30.75" customHeight="1" x14ac:dyDescent="0.2">
      <c r="A45" s="81" t="s">
        <v>9</v>
      </c>
      <c r="B45" s="82"/>
      <c r="C45" s="82"/>
      <c r="D45" s="83" t="s">
        <v>10</v>
      </c>
      <c r="E45" s="82"/>
      <c r="F45" s="82"/>
    </row>
    <row r="46" spans="1:12" x14ac:dyDescent="0.2">
      <c r="D46" t="s">
        <v>11</v>
      </c>
    </row>
    <row r="51" spans="6:6" x14ac:dyDescent="0.2">
      <c r="F51" s="30"/>
    </row>
  </sheetData>
  <mergeCells count="4">
    <mergeCell ref="A1:F1"/>
    <mergeCell ref="B2:C3"/>
    <mergeCell ref="B6:C6"/>
    <mergeCell ref="B4:C4"/>
  </mergeCells>
  <pageMargins left="0.7" right="0.7" top="0.78740157499999996" bottom="0.78740157499999996" header="0.3" footer="0.3"/>
  <pageSetup paperSize="9" orientation="landscape" horizontalDpi="4294967294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43"/>
  <sheetViews>
    <sheetView zoomScaleNormal="100" workbookViewId="0">
      <selection activeCell="AV10" sqref="AV10"/>
    </sheetView>
  </sheetViews>
  <sheetFormatPr defaultColWidth="11.5703125" defaultRowHeight="12.75" x14ac:dyDescent="0.2"/>
  <cols>
    <col min="1" max="1" width="3.7109375" style="147" customWidth="1"/>
    <col min="2" max="2" width="5.85546875" style="147" customWidth="1"/>
    <col min="3" max="3" width="13.28515625" style="147" customWidth="1"/>
    <col min="4" max="4" width="47.140625" style="31" customWidth="1"/>
    <col min="5" max="5" width="4.28515625" style="147" customWidth="1"/>
    <col min="6" max="6" width="11.42578125" style="147" customWidth="1"/>
    <col min="7" max="7" width="12" style="147" customWidth="1"/>
    <col min="8" max="8" width="10.7109375" style="147" customWidth="1"/>
    <col min="9" max="9" width="14.28515625" style="147" customWidth="1"/>
    <col min="10" max="10" width="10.5703125" style="147" customWidth="1"/>
    <col min="11" max="12" width="11.7109375" style="147" customWidth="1"/>
    <col min="13" max="13" width="0" style="147" hidden="1" customWidth="1"/>
    <col min="14" max="46" width="12.140625" style="147" hidden="1" customWidth="1"/>
    <col min="47" max="16384" width="11.5703125" style="147"/>
  </cols>
  <sheetData>
    <row r="1" spans="1:47" ht="24" thickBot="1" x14ac:dyDescent="0.4">
      <c r="A1" s="313" t="s">
        <v>420</v>
      </c>
      <c r="B1" s="313"/>
      <c r="C1" s="313"/>
      <c r="D1" s="313"/>
      <c r="E1" s="313"/>
      <c r="F1" s="313"/>
      <c r="G1" s="313"/>
      <c r="H1" s="313"/>
      <c r="I1" s="313"/>
      <c r="J1" s="313"/>
      <c r="K1" s="146"/>
      <c r="L1" s="146"/>
    </row>
    <row r="2" spans="1:47" x14ac:dyDescent="0.2">
      <c r="A2" s="148" t="s">
        <v>50</v>
      </c>
      <c r="B2" s="149" t="s">
        <v>13</v>
      </c>
      <c r="C2" s="149" t="s">
        <v>18</v>
      </c>
      <c r="D2" s="47" t="s">
        <v>51</v>
      </c>
      <c r="E2" s="149" t="s">
        <v>52</v>
      </c>
      <c r="F2" s="150" t="s">
        <v>53</v>
      </c>
      <c r="G2" s="151" t="s">
        <v>54</v>
      </c>
      <c r="H2" s="314" t="s">
        <v>55</v>
      </c>
      <c r="I2" s="315"/>
      <c r="J2" s="316"/>
      <c r="K2" s="304" t="s">
        <v>56</v>
      </c>
      <c r="L2" s="305"/>
      <c r="M2" s="152"/>
    </row>
    <row r="3" spans="1:47" ht="13.5" thickBot="1" x14ac:dyDescent="0.25">
      <c r="A3" s="153" t="s">
        <v>57</v>
      </c>
      <c r="B3" s="154" t="s">
        <v>57</v>
      </c>
      <c r="C3" s="154" t="s">
        <v>57</v>
      </c>
      <c r="D3" s="48" t="s">
        <v>58</v>
      </c>
      <c r="E3" s="154" t="s">
        <v>57</v>
      </c>
      <c r="F3" s="154" t="s">
        <v>57</v>
      </c>
      <c r="G3" s="155" t="s">
        <v>59</v>
      </c>
      <c r="H3" s="156" t="s">
        <v>60</v>
      </c>
      <c r="I3" s="157" t="s">
        <v>8</v>
      </c>
      <c r="J3" s="158" t="s">
        <v>61</v>
      </c>
      <c r="K3" s="281" t="s">
        <v>54</v>
      </c>
      <c r="L3" s="158" t="s">
        <v>61</v>
      </c>
      <c r="M3" s="152"/>
      <c r="O3" s="159" t="s">
        <v>62</v>
      </c>
      <c r="P3" s="159" t="s">
        <v>63</v>
      </c>
      <c r="Q3" s="159" t="s">
        <v>64</v>
      </c>
      <c r="R3" s="159" t="s">
        <v>65</v>
      </c>
      <c r="S3" s="159" t="s">
        <v>66</v>
      </c>
      <c r="T3" s="159" t="s">
        <v>67</v>
      </c>
      <c r="U3" s="159" t="s">
        <v>68</v>
      </c>
      <c r="V3" s="159" t="s">
        <v>69</v>
      </c>
      <c r="W3" s="159" t="s">
        <v>70</v>
      </c>
    </row>
    <row r="4" spans="1:47" ht="13.5" thickBot="1" x14ac:dyDescent="0.25">
      <c r="A4" s="246"/>
      <c r="B4" s="206" t="s">
        <v>71</v>
      </c>
      <c r="C4" s="206" t="s">
        <v>23</v>
      </c>
      <c r="D4" s="49"/>
      <c r="E4" s="206"/>
      <c r="F4" s="206"/>
      <c r="G4" s="160"/>
      <c r="H4" s="161"/>
      <c r="I4" s="161"/>
      <c r="J4" s="247"/>
      <c r="K4" s="161"/>
      <c r="L4" s="161"/>
      <c r="M4" s="162"/>
      <c r="O4" s="159"/>
      <c r="P4" s="159"/>
      <c r="Q4" s="159"/>
      <c r="R4" s="159"/>
      <c r="S4" s="159"/>
      <c r="T4" s="159"/>
      <c r="U4" s="159"/>
      <c r="V4" s="159"/>
      <c r="W4" s="159"/>
    </row>
    <row r="5" spans="1:47" x14ac:dyDescent="0.2">
      <c r="A5" s="282"/>
      <c r="B5" s="204"/>
      <c r="C5" s="204" t="s">
        <v>24</v>
      </c>
      <c r="D5" s="306" t="s">
        <v>25</v>
      </c>
      <c r="E5" s="307"/>
      <c r="F5" s="307"/>
      <c r="G5" s="307"/>
      <c r="H5" s="175">
        <f>SUM(H6)</f>
        <v>0</v>
      </c>
      <c r="I5" s="175">
        <f>SUM(I6:I6)</f>
        <v>0</v>
      </c>
      <c r="J5" s="283">
        <f>H5+I5</f>
        <v>0</v>
      </c>
      <c r="K5" s="176"/>
      <c r="L5" s="175">
        <f>SUM(AU7)</f>
        <v>0</v>
      </c>
      <c r="O5" s="163" t="e">
        <f>IF(P5="PR",J5,SUM(#REF!))</f>
        <v>#REF!</v>
      </c>
      <c r="P5" s="159" t="s">
        <v>72</v>
      </c>
      <c r="Q5" s="163">
        <f>IF(P5="HS",H5,0)</f>
        <v>0</v>
      </c>
      <c r="R5" s="163" t="e">
        <f>IF(P5="HS",I5-O5,0)</f>
        <v>#REF!</v>
      </c>
      <c r="S5" s="163">
        <f>IF(P5="PS",H5,0)</f>
        <v>0</v>
      </c>
      <c r="T5" s="163">
        <f>IF(P5="PS",I5-O5,0)</f>
        <v>0</v>
      </c>
      <c r="U5" s="163">
        <f>IF(P5="MP",H5,0)</f>
        <v>0</v>
      </c>
      <c r="V5" s="163">
        <f>IF(P5="MP",I5-O5,0)</f>
        <v>0</v>
      </c>
      <c r="W5" s="163">
        <f>IF(P5="OM",H5,0)</f>
        <v>0</v>
      </c>
      <c r="X5" s="159"/>
      <c r="AH5" s="163" t="e">
        <f>SUM(#REF!)</f>
        <v>#REF!</v>
      </c>
      <c r="AI5" s="163" t="e">
        <f>SUM(#REF!)</f>
        <v>#REF!</v>
      </c>
      <c r="AJ5" s="163" t="e">
        <f>SUM(#REF!)</f>
        <v>#REF!</v>
      </c>
    </row>
    <row r="6" spans="1:47" x14ac:dyDescent="0.2">
      <c r="A6" s="246" t="s">
        <v>73</v>
      </c>
      <c r="B6" s="206"/>
      <c r="C6" s="206" t="s">
        <v>283</v>
      </c>
      <c r="D6" s="49" t="s">
        <v>284</v>
      </c>
      <c r="E6" s="206" t="s">
        <v>88</v>
      </c>
      <c r="F6" s="164">
        <v>13.7</v>
      </c>
      <c r="G6" s="164"/>
      <c r="H6" s="164"/>
      <c r="I6" s="164"/>
      <c r="J6" s="250"/>
      <c r="K6" s="164">
        <v>0</v>
      </c>
      <c r="L6" s="164">
        <f>F6*K6</f>
        <v>0</v>
      </c>
      <c r="M6" s="160"/>
      <c r="N6" s="164"/>
      <c r="Y6" s="164"/>
      <c r="Z6" s="164"/>
      <c r="AA6" s="164"/>
      <c r="AC6" s="164"/>
      <c r="AD6" s="164"/>
      <c r="AE6" s="164"/>
      <c r="AL6" s="164"/>
      <c r="AM6" s="164"/>
      <c r="AN6" s="160"/>
      <c r="AO6" s="160"/>
      <c r="AP6" s="159"/>
    </row>
    <row r="7" spans="1:47" x14ac:dyDescent="0.2">
      <c r="A7" s="248"/>
      <c r="B7" s="205"/>
      <c r="C7" s="205" t="s">
        <v>28</v>
      </c>
      <c r="D7" s="308" t="s">
        <v>29</v>
      </c>
      <c r="E7" s="309"/>
      <c r="F7" s="309"/>
      <c r="G7" s="309"/>
      <c r="H7" s="163">
        <f>SUM(H8:H33)</f>
        <v>0</v>
      </c>
      <c r="I7" s="163">
        <f>SUM(I8:I33)</f>
        <v>0</v>
      </c>
      <c r="J7" s="249">
        <f>H7+I7</f>
        <v>0</v>
      </c>
      <c r="K7" s="159"/>
      <c r="L7" s="163">
        <f>SUM(L8:L33)</f>
        <v>8.5809899999999981</v>
      </c>
      <c r="O7" s="163">
        <f>IF(P7="PR",J7,SUM(N8:N32))</f>
        <v>0</v>
      </c>
      <c r="P7" s="159" t="s">
        <v>72</v>
      </c>
      <c r="Q7" s="163">
        <f>IF(P7="HS",H7,0)</f>
        <v>0</v>
      </c>
      <c r="R7" s="163">
        <f>IF(P7="HS",I7-O7,0)</f>
        <v>0</v>
      </c>
      <c r="S7" s="163">
        <f>IF(P7="PS",H7,0)</f>
        <v>0</v>
      </c>
      <c r="T7" s="163">
        <f>IF(P7="PS",I7-O7,0)</f>
        <v>0</v>
      </c>
      <c r="U7" s="163">
        <f>IF(P7="MP",H7,0)</f>
        <v>0</v>
      </c>
      <c r="V7" s="163">
        <f>IF(P7="MP",I7-O7,0)</f>
        <v>0</v>
      </c>
      <c r="W7" s="163">
        <f>IF(P7="OM",H7,0)</f>
        <v>0</v>
      </c>
      <c r="X7" s="159"/>
      <c r="AH7" s="163">
        <f>SUM(Y8:Y32)</f>
        <v>0</v>
      </c>
      <c r="AI7" s="163">
        <f>SUM(Z8:Z32)</f>
        <v>0</v>
      </c>
      <c r="AJ7" s="163">
        <f>SUM(AA8:AA32)</f>
        <v>0</v>
      </c>
    </row>
    <row r="8" spans="1:47" x14ac:dyDescent="0.2">
      <c r="A8" s="246" t="s">
        <v>78</v>
      </c>
      <c r="B8" s="206"/>
      <c r="C8" s="206" t="s">
        <v>90</v>
      </c>
      <c r="D8" s="49" t="s">
        <v>398</v>
      </c>
      <c r="E8" s="206" t="s">
        <v>74</v>
      </c>
      <c r="F8" s="164">
        <v>535</v>
      </c>
      <c r="G8" s="164"/>
      <c r="H8" s="164"/>
      <c r="I8" s="164"/>
      <c r="J8" s="250"/>
      <c r="K8" s="164">
        <v>0</v>
      </c>
      <c r="L8" s="164">
        <f t="shared" ref="L8:L18" si="0">F8*K8</f>
        <v>0</v>
      </c>
      <c r="M8" s="160" t="s">
        <v>73</v>
      </c>
      <c r="N8" s="164">
        <f>IF(M8="5",I8,0)</f>
        <v>0</v>
      </c>
      <c r="Y8" s="164">
        <f>IF(AC8=0,J8,0)</f>
        <v>0</v>
      </c>
      <c r="Z8" s="164">
        <f>IF(AC8=15,J8,0)</f>
        <v>0</v>
      </c>
      <c r="AA8" s="164">
        <f>IF(AC8=21,J8,0)</f>
        <v>0</v>
      </c>
      <c r="AC8" s="164">
        <v>21</v>
      </c>
      <c r="AD8" s="164">
        <f>G8*0.0152671755725191</f>
        <v>0</v>
      </c>
      <c r="AE8" s="164">
        <f>G8*(1-0.0152671755725191)</f>
        <v>0</v>
      </c>
      <c r="AL8" s="164">
        <f>F8*AD8</f>
        <v>0</v>
      </c>
      <c r="AM8" s="164">
        <f>F8*AE8</f>
        <v>0</v>
      </c>
      <c r="AN8" s="160" t="s">
        <v>92</v>
      </c>
      <c r="AO8" s="160" t="s">
        <v>76</v>
      </c>
      <c r="AP8" s="159" t="s">
        <v>77</v>
      </c>
    </row>
    <row r="9" spans="1:47" x14ac:dyDescent="0.2">
      <c r="A9" s="246" t="s">
        <v>85</v>
      </c>
      <c r="B9" s="206"/>
      <c r="C9" s="206"/>
      <c r="D9" s="49" t="s">
        <v>264</v>
      </c>
      <c r="E9" s="206" t="s">
        <v>95</v>
      </c>
      <c r="F9" s="164">
        <f>F8*0.001</f>
        <v>0.53500000000000003</v>
      </c>
      <c r="G9" s="164"/>
      <c r="H9" s="164"/>
      <c r="I9" s="164"/>
      <c r="J9" s="250"/>
      <c r="K9" s="164">
        <v>0</v>
      </c>
      <c r="L9" s="164">
        <f t="shared" si="0"/>
        <v>0</v>
      </c>
      <c r="M9" s="160"/>
      <c r="N9" s="164"/>
      <c r="Y9" s="164"/>
      <c r="Z9" s="164"/>
      <c r="AA9" s="164"/>
      <c r="AC9" s="164"/>
      <c r="AD9" s="164"/>
      <c r="AE9" s="164"/>
      <c r="AL9" s="164"/>
      <c r="AM9" s="164"/>
      <c r="AN9" s="160"/>
      <c r="AO9" s="160"/>
      <c r="AP9" s="159"/>
      <c r="AU9" s="165"/>
    </row>
    <row r="10" spans="1:47" ht="22.5" customHeight="1" x14ac:dyDescent="0.2">
      <c r="A10" s="246" t="s">
        <v>82</v>
      </c>
      <c r="B10" s="206"/>
      <c r="C10" s="206" t="s">
        <v>285</v>
      </c>
      <c r="D10" s="177" t="s">
        <v>286</v>
      </c>
      <c r="E10" s="206" t="s">
        <v>88</v>
      </c>
      <c r="F10" s="164">
        <v>2.2599999999999998</v>
      </c>
      <c r="G10" s="164"/>
      <c r="H10" s="164"/>
      <c r="I10" s="164"/>
      <c r="J10" s="250"/>
      <c r="K10" s="164">
        <v>0</v>
      </c>
      <c r="L10" s="164">
        <f>F10*K10</f>
        <v>0</v>
      </c>
      <c r="M10" s="160" t="s">
        <v>280</v>
      </c>
      <c r="N10" s="160" t="s">
        <v>73</v>
      </c>
      <c r="O10" s="164">
        <f>IF(N10="5",I10,0)</f>
        <v>0</v>
      </c>
      <c r="Z10" s="164">
        <f>IF(AD10=0,J10,0)</f>
        <v>0</v>
      </c>
      <c r="AA10" s="164">
        <f>IF(AD10=15,J10,0)</f>
        <v>0</v>
      </c>
      <c r="AB10" s="164">
        <f>IF(AD10=21,J10,0)</f>
        <v>0</v>
      </c>
      <c r="AD10" s="164">
        <v>21</v>
      </c>
      <c r="AE10" s="164">
        <f>G10*0</f>
        <v>0</v>
      </c>
      <c r="AF10" s="164">
        <f>G10*(1-0)</f>
        <v>0</v>
      </c>
      <c r="AM10" s="164">
        <f t="shared" ref="AM10:AM16" si="1">F10*AE10</f>
        <v>0</v>
      </c>
      <c r="AN10" s="164">
        <f>F10*AF10</f>
        <v>0</v>
      </c>
      <c r="AO10" s="160" t="s">
        <v>92</v>
      </c>
      <c r="AP10" s="160" t="s">
        <v>76</v>
      </c>
      <c r="AQ10" s="173" t="s">
        <v>77</v>
      </c>
    </row>
    <row r="11" spans="1:47" x14ac:dyDescent="0.2">
      <c r="A11" s="246" t="s">
        <v>87</v>
      </c>
      <c r="B11" s="206"/>
      <c r="C11" s="206" t="s">
        <v>287</v>
      </c>
      <c r="D11" s="177" t="s">
        <v>288</v>
      </c>
      <c r="E11" s="206" t="s">
        <v>88</v>
      </c>
      <c r="F11" s="164">
        <v>2.2599999999999998</v>
      </c>
      <c r="G11" s="164"/>
      <c r="H11" s="164"/>
      <c r="I11" s="164"/>
      <c r="J11" s="250"/>
      <c r="K11" s="164">
        <v>0.6</v>
      </c>
      <c r="L11" s="164">
        <f>F11*K11</f>
        <v>1.3559999999999999</v>
      </c>
      <c r="M11" s="160" t="s">
        <v>280</v>
      </c>
      <c r="N11" s="160" t="s">
        <v>101</v>
      </c>
      <c r="O11" s="164">
        <f>IF(N11="5",I11,0)</f>
        <v>0</v>
      </c>
      <c r="Z11" s="164">
        <f>IF(AD11=0,J11,0)</f>
        <v>0</v>
      </c>
      <c r="AA11" s="164">
        <f>IF(AD11=15,J11,0)</f>
        <v>0</v>
      </c>
      <c r="AB11" s="164">
        <f>IF(AD11=21,J11,0)</f>
        <v>0</v>
      </c>
      <c r="AD11" s="164">
        <v>21</v>
      </c>
      <c r="AE11" s="164">
        <f>G11*1</f>
        <v>0</v>
      </c>
      <c r="AF11" s="164">
        <f>G11*(1-1)</f>
        <v>0</v>
      </c>
      <c r="AM11" s="164">
        <f t="shared" si="1"/>
        <v>0</v>
      </c>
      <c r="AN11" s="164">
        <f>F11*AF11</f>
        <v>0</v>
      </c>
      <c r="AO11" s="160" t="s">
        <v>92</v>
      </c>
      <c r="AP11" s="160" t="s">
        <v>76</v>
      </c>
      <c r="AQ11" s="173" t="s">
        <v>77</v>
      </c>
    </row>
    <row r="12" spans="1:47" x14ac:dyDescent="0.2">
      <c r="A12" s="246" t="s">
        <v>89</v>
      </c>
      <c r="B12" s="206"/>
      <c r="C12" s="206" t="s">
        <v>105</v>
      </c>
      <c r="D12" s="49" t="s">
        <v>396</v>
      </c>
      <c r="E12" s="206" t="s">
        <v>74</v>
      </c>
      <c r="F12" s="164">
        <v>505</v>
      </c>
      <c r="G12" s="164"/>
      <c r="H12" s="164"/>
      <c r="I12" s="164"/>
      <c r="J12" s="250"/>
      <c r="K12" s="164">
        <v>0</v>
      </c>
      <c r="L12" s="164">
        <f t="shared" si="0"/>
        <v>0</v>
      </c>
      <c r="M12" s="160" t="s">
        <v>73</v>
      </c>
      <c r="N12" s="164">
        <f>IF(M12="5",I12,0)</f>
        <v>0</v>
      </c>
      <c r="Y12" s="164">
        <f>IF(AC12=0,J12,0)</f>
        <v>0</v>
      </c>
      <c r="Z12" s="164">
        <f>IF(AC12=15,J12,0)</f>
        <v>0</v>
      </c>
      <c r="AA12" s="164">
        <f>IF(AC12=21,J12,0)</f>
        <v>0</v>
      </c>
      <c r="AC12" s="164">
        <v>21</v>
      </c>
      <c r="AD12" s="164">
        <f>G12*0</f>
        <v>0</v>
      </c>
      <c r="AE12" s="164">
        <f>G12*(1-0)</f>
        <v>0</v>
      </c>
      <c r="AL12" s="164">
        <f>F12*AD12</f>
        <v>0</v>
      </c>
      <c r="AM12" s="164">
        <f t="shared" si="1"/>
        <v>0</v>
      </c>
      <c r="AN12" s="160" t="s">
        <v>92</v>
      </c>
      <c r="AO12" s="160" t="s">
        <v>76</v>
      </c>
      <c r="AP12" s="159" t="s">
        <v>77</v>
      </c>
    </row>
    <row r="13" spans="1:47" x14ac:dyDescent="0.2">
      <c r="A13" s="246" t="s">
        <v>93</v>
      </c>
      <c r="B13" s="206"/>
      <c r="C13" s="206" t="s">
        <v>108</v>
      </c>
      <c r="D13" s="49" t="s">
        <v>402</v>
      </c>
      <c r="E13" s="206" t="s">
        <v>74</v>
      </c>
      <c r="F13" s="164">
        <v>505</v>
      </c>
      <c r="G13" s="164"/>
      <c r="H13" s="164"/>
      <c r="I13" s="164"/>
      <c r="J13" s="250"/>
      <c r="K13" s="164">
        <v>0</v>
      </c>
      <c r="L13" s="164">
        <f t="shared" si="0"/>
        <v>0</v>
      </c>
      <c r="M13" s="160" t="s">
        <v>73</v>
      </c>
      <c r="N13" s="164">
        <f>IF(M13="5",I13,0)</f>
        <v>0</v>
      </c>
      <c r="Y13" s="164">
        <f>IF(AC13=0,J13,0)</f>
        <v>0</v>
      </c>
      <c r="Z13" s="164">
        <f>IF(AC13=15,J13,0)</f>
        <v>0</v>
      </c>
      <c r="AA13" s="164">
        <f>IF(AC13=21,J13,0)</f>
        <v>0</v>
      </c>
      <c r="AC13" s="164">
        <v>21</v>
      </c>
      <c r="AD13" s="164">
        <f>G13*0</f>
        <v>0</v>
      </c>
      <c r="AE13" s="164">
        <f>G13*(1-0)</f>
        <v>0</v>
      </c>
      <c r="AL13" s="164">
        <f>F13*AD13</f>
        <v>0</v>
      </c>
      <c r="AM13" s="164">
        <f t="shared" si="1"/>
        <v>0</v>
      </c>
      <c r="AN13" s="160" t="s">
        <v>92</v>
      </c>
      <c r="AO13" s="160" t="s">
        <v>76</v>
      </c>
      <c r="AP13" s="159" t="s">
        <v>77</v>
      </c>
    </row>
    <row r="14" spans="1:47" x14ac:dyDescent="0.2">
      <c r="A14" s="246" t="s">
        <v>96</v>
      </c>
      <c r="B14" s="206"/>
      <c r="C14" s="206" t="s">
        <v>108</v>
      </c>
      <c r="D14" s="49" t="s">
        <v>266</v>
      </c>
      <c r="E14" s="206" t="s">
        <v>74</v>
      </c>
      <c r="F14" s="164">
        <v>505</v>
      </c>
      <c r="G14" s="164"/>
      <c r="H14" s="164"/>
      <c r="I14" s="164"/>
      <c r="J14" s="250"/>
      <c r="K14" s="164">
        <v>0</v>
      </c>
      <c r="L14" s="164">
        <f t="shared" si="0"/>
        <v>0</v>
      </c>
      <c r="M14" s="160" t="s">
        <v>73</v>
      </c>
      <c r="N14" s="164">
        <f>IF(M14="5",I14,0)</f>
        <v>0</v>
      </c>
      <c r="Y14" s="164">
        <f>IF(AC14=0,J14,0)</f>
        <v>0</v>
      </c>
      <c r="Z14" s="164">
        <f>IF(AC14=15,J14,0)</f>
        <v>0</v>
      </c>
      <c r="AA14" s="164">
        <f>IF(AC14=21,J14,0)</f>
        <v>0</v>
      </c>
      <c r="AC14" s="164">
        <v>21</v>
      </c>
      <c r="AD14" s="164">
        <f>G14*0</f>
        <v>0</v>
      </c>
      <c r="AE14" s="164">
        <f>G14*(1-0)</f>
        <v>0</v>
      </c>
      <c r="AL14" s="164">
        <f>F14*AD14</f>
        <v>0</v>
      </c>
      <c r="AM14" s="164">
        <f t="shared" si="1"/>
        <v>0</v>
      </c>
      <c r="AN14" s="160" t="s">
        <v>92</v>
      </c>
      <c r="AO14" s="160" t="s">
        <v>76</v>
      </c>
      <c r="AP14" s="159" t="s">
        <v>77</v>
      </c>
    </row>
    <row r="15" spans="1:47" x14ac:dyDescent="0.2">
      <c r="A15" s="246" t="s">
        <v>98</v>
      </c>
      <c r="B15" s="206"/>
      <c r="C15" s="206" t="s">
        <v>112</v>
      </c>
      <c r="D15" s="49" t="s">
        <v>113</v>
      </c>
      <c r="E15" s="206" t="s">
        <v>74</v>
      </c>
      <c r="F15" s="164">
        <v>30</v>
      </c>
      <c r="G15" s="164"/>
      <c r="H15" s="164"/>
      <c r="I15" s="164"/>
      <c r="J15" s="250"/>
      <c r="K15" s="164">
        <v>0</v>
      </c>
      <c r="L15" s="164">
        <f t="shared" si="0"/>
        <v>0</v>
      </c>
      <c r="M15" s="160" t="s">
        <v>73</v>
      </c>
      <c r="N15" s="164">
        <f>IF(M15="5",I15,0)</f>
        <v>0</v>
      </c>
      <c r="Y15" s="164">
        <f>IF(AC15=0,J15,0)</f>
        <v>0</v>
      </c>
      <c r="Z15" s="164">
        <f>IF(AC15=15,J15,0)</f>
        <v>0</v>
      </c>
      <c r="AA15" s="164">
        <f>IF(AC15=21,J15,0)</f>
        <v>0</v>
      </c>
      <c r="AC15" s="164">
        <v>21</v>
      </c>
      <c r="AD15" s="164">
        <f>G15*0</f>
        <v>0</v>
      </c>
      <c r="AE15" s="164">
        <f>G15*(1-0)</f>
        <v>0</v>
      </c>
      <c r="AL15" s="164">
        <f>F15*AD15</f>
        <v>0</v>
      </c>
      <c r="AM15" s="164">
        <f t="shared" si="1"/>
        <v>0</v>
      </c>
      <c r="AN15" s="160" t="s">
        <v>92</v>
      </c>
      <c r="AO15" s="160" t="s">
        <v>76</v>
      </c>
      <c r="AP15" s="159" t="s">
        <v>77</v>
      </c>
    </row>
    <row r="16" spans="1:47" ht="24" x14ac:dyDescent="0.2">
      <c r="A16" s="246" t="s">
        <v>102</v>
      </c>
      <c r="B16" s="206"/>
      <c r="C16" s="206" t="s">
        <v>90</v>
      </c>
      <c r="D16" s="49" t="s">
        <v>403</v>
      </c>
      <c r="E16" s="206" t="s">
        <v>74</v>
      </c>
      <c r="F16" s="164">
        <v>535</v>
      </c>
      <c r="G16" s="164"/>
      <c r="H16" s="164"/>
      <c r="I16" s="164"/>
      <c r="J16" s="250"/>
      <c r="K16" s="164">
        <v>0</v>
      </c>
      <c r="L16" s="164">
        <f t="shared" si="0"/>
        <v>0</v>
      </c>
      <c r="M16" s="160" t="s">
        <v>73</v>
      </c>
      <c r="N16" s="164">
        <f>IF(M16="5",I16,0)</f>
        <v>0</v>
      </c>
      <c r="Y16" s="164">
        <f>IF(AC16=0,J16,0)</f>
        <v>0</v>
      </c>
      <c r="Z16" s="164">
        <f>IF(AC16=15,J16,0)</f>
        <v>0</v>
      </c>
      <c r="AA16" s="164">
        <f>IF(AC16=21,J16,0)</f>
        <v>0</v>
      </c>
      <c r="AC16" s="164">
        <v>21</v>
      </c>
      <c r="AD16" s="164">
        <f>G16*0.0152671755725191</f>
        <v>0</v>
      </c>
      <c r="AE16" s="164">
        <f>G16*(1-0.0152671755725191)</f>
        <v>0</v>
      </c>
      <c r="AL16" s="164">
        <f>F16*AD16</f>
        <v>0</v>
      </c>
      <c r="AM16" s="164">
        <f t="shared" si="1"/>
        <v>0</v>
      </c>
      <c r="AN16" s="160" t="s">
        <v>92</v>
      </c>
      <c r="AO16" s="160" t="s">
        <v>76</v>
      </c>
      <c r="AP16" s="159" t="s">
        <v>77</v>
      </c>
    </row>
    <row r="17" spans="1:42" x14ac:dyDescent="0.2">
      <c r="A17" s="246" t="s">
        <v>24</v>
      </c>
      <c r="B17" s="206"/>
      <c r="C17" s="206"/>
      <c r="D17" s="49" t="s">
        <v>94</v>
      </c>
      <c r="E17" s="206" t="s">
        <v>95</v>
      </c>
      <c r="F17" s="164">
        <f>F16*0.001</f>
        <v>0.53500000000000003</v>
      </c>
      <c r="G17" s="164"/>
      <c r="H17" s="164"/>
      <c r="I17" s="164"/>
      <c r="J17" s="250"/>
      <c r="K17" s="164">
        <v>0</v>
      </c>
      <c r="L17" s="164">
        <f>F17*K17</f>
        <v>0</v>
      </c>
      <c r="M17" s="160"/>
      <c r="N17" s="164"/>
      <c r="Y17" s="164"/>
      <c r="Z17" s="164"/>
      <c r="AA17" s="164"/>
      <c r="AC17" s="164"/>
      <c r="AD17" s="164"/>
      <c r="AE17" s="164"/>
      <c r="AL17" s="164"/>
      <c r="AM17" s="164"/>
      <c r="AN17" s="160"/>
      <c r="AO17" s="160"/>
      <c r="AP17" s="159"/>
    </row>
    <row r="18" spans="1:42" x14ac:dyDescent="0.2">
      <c r="A18" s="246" t="s">
        <v>26</v>
      </c>
      <c r="B18" s="206"/>
      <c r="C18" s="206" t="s">
        <v>116</v>
      </c>
      <c r="D18" s="49" t="s">
        <v>387</v>
      </c>
      <c r="E18" s="206" t="s">
        <v>74</v>
      </c>
      <c r="F18" s="164">
        <f>F16-F20</f>
        <v>351</v>
      </c>
      <c r="G18" s="164"/>
      <c r="H18" s="164"/>
      <c r="I18" s="164"/>
      <c r="J18" s="250"/>
      <c r="K18" s="164">
        <v>3.0000000000000001E-5</v>
      </c>
      <c r="L18" s="164">
        <f t="shared" si="0"/>
        <v>1.0529999999999999E-2</v>
      </c>
      <c r="M18" s="160" t="s">
        <v>85</v>
      </c>
      <c r="N18" s="164">
        <f>IF(M18="5",I18,0)</f>
        <v>0</v>
      </c>
      <c r="Y18" s="164">
        <f>IF(AC18=0,J18,0)</f>
        <v>0</v>
      </c>
      <c r="Z18" s="164">
        <f>IF(AC18=15,J18,0)</f>
        <v>0</v>
      </c>
      <c r="AA18" s="164">
        <f>IF(AC18=21,J18,0)</f>
        <v>0</v>
      </c>
      <c r="AC18" s="164">
        <v>21</v>
      </c>
      <c r="AD18" s="164">
        <f>G18*0.263768115942029</f>
        <v>0</v>
      </c>
      <c r="AE18" s="164">
        <f>G18*(1-0.263768115942029)</f>
        <v>0</v>
      </c>
      <c r="AL18" s="164">
        <f>F18*AD18</f>
        <v>0</v>
      </c>
      <c r="AM18" s="164">
        <f>F18*AE18</f>
        <v>0</v>
      </c>
      <c r="AN18" s="160" t="s">
        <v>92</v>
      </c>
      <c r="AO18" s="160" t="s">
        <v>76</v>
      </c>
      <c r="AP18" s="159" t="s">
        <v>77</v>
      </c>
    </row>
    <row r="19" spans="1:42" ht="30" customHeight="1" x14ac:dyDescent="0.2">
      <c r="A19" s="246" t="s">
        <v>107</v>
      </c>
      <c r="B19" s="260"/>
      <c r="C19" s="178"/>
      <c r="D19" s="311" t="s">
        <v>289</v>
      </c>
      <c r="E19" s="311"/>
      <c r="F19" s="311"/>
      <c r="G19" s="311"/>
      <c r="H19" s="311"/>
      <c r="I19" s="311"/>
      <c r="J19" s="312"/>
      <c r="K19" s="179"/>
      <c r="L19" s="179"/>
    </row>
    <row r="20" spans="1:42" x14ac:dyDescent="0.2">
      <c r="A20" s="246" t="s">
        <v>110</v>
      </c>
      <c r="B20" s="206"/>
      <c r="C20" s="206" t="s">
        <v>154</v>
      </c>
      <c r="D20" s="49" t="s">
        <v>405</v>
      </c>
      <c r="E20" s="206" t="s">
        <v>74</v>
      </c>
      <c r="F20" s="164">
        <v>184</v>
      </c>
      <c r="G20" s="164"/>
      <c r="H20" s="164"/>
      <c r="I20" s="164"/>
      <c r="J20" s="250"/>
      <c r="K20" s="164">
        <v>0</v>
      </c>
      <c r="L20" s="164">
        <f>F20*K20</f>
        <v>0</v>
      </c>
      <c r="M20" s="160" t="s">
        <v>73</v>
      </c>
      <c r="N20" s="164">
        <f>IF(M20="5",I20,0)</f>
        <v>0</v>
      </c>
      <c r="Y20" s="164">
        <f>IF(AC20=0,J20,0)</f>
        <v>0</v>
      </c>
      <c r="Z20" s="164">
        <f>IF(AC20=15,J20,0)</f>
        <v>0</v>
      </c>
      <c r="AA20" s="164">
        <f>IF(AC20=21,J20,0)</f>
        <v>0</v>
      </c>
      <c r="AC20" s="164">
        <v>21</v>
      </c>
      <c r="AD20" s="164">
        <f>G20*0</f>
        <v>0</v>
      </c>
      <c r="AE20" s="164">
        <f>G20*(1-0)</f>
        <v>0</v>
      </c>
      <c r="AL20" s="164">
        <f>F20*AD20</f>
        <v>0</v>
      </c>
      <c r="AM20" s="164">
        <f>F20*AE20</f>
        <v>0</v>
      </c>
      <c r="AN20" s="160" t="s">
        <v>92</v>
      </c>
      <c r="AO20" s="160" t="s">
        <v>76</v>
      </c>
      <c r="AP20" s="159" t="s">
        <v>77</v>
      </c>
    </row>
    <row r="21" spans="1:42" x14ac:dyDescent="0.2">
      <c r="A21" s="246" t="s">
        <v>111</v>
      </c>
      <c r="B21" s="206"/>
      <c r="C21" s="206" t="s">
        <v>157</v>
      </c>
      <c r="D21" s="49" t="s">
        <v>404</v>
      </c>
      <c r="E21" s="206" t="s">
        <v>84</v>
      </c>
      <c r="F21" s="164">
        <v>12</v>
      </c>
      <c r="G21" s="164"/>
      <c r="H21" s="164"/>
      <c r="I21" s="164"/>
      <c r="J21" s="250"/>
      <c r="K21" s="164">
        <v>0.6</v>
      </c>
      <c r="L21" s="164">
        <f>F21*K21</f>
        <v>7.1999999999999993</v>
      </c>
      <c r="M21" s="160" t="s">
        <v>101</v>
      </c>
      <c r="N21" s="164">
        <f>IF(M21="5",I21,0)</f>
        <v>0</v>
      </c>
      <c r="Y21" s="164">
        <f>IF(AC21=0,J21,0)</f>
        <v>0</v>
      </c>
      <c r="Z21" s="164">
        <f>IF(AC21=15,J21,0)</f>
        <v>0</v>
      </c>
      <c r="AA21" s="164">
        <f>IF(AC21=21,J21,0)</f>
        <v>0</v>
      </c>
      <c r="AC21" s="164">
        <v>21</v>
      </c>
      <c r="AD21" s="164">
        <f>G21*1</f>
        <v>0</v>
      </c>
      <c r="AE21" s="164">
        <f>G21*(1-1)</f>
        <v>0</v>
      </c>
      <c r="AL21" s="164">
        <f>F21*AD21</f>
        <v>0</v>
      </c>
      <c r="AM21" s="164">
        <f>F21*AE21</f>
        <v>0</v>
      </c>
      <c r="AN21" s="160" t="s">
        <v>92</v>
      </c>
      <c r="AO21" s="160" t="s">
        <v>76</v>
      </c>
      <c r="AP21" s="159" t="s">
        <v>77</v>
      </c>
    </row>
    <row r="22" spans="1:42" x14ac:dyDescent="0.2">
      <c r="A22" s="246" t="s">
        <v>114</v>
      </c>
      <c r="B22" s="206"/>
      <c r="C22" s="206" t="s">
        <v>159</v>
      </c>
      <c r="D22" s="49" t="s">
        <v>162</v>
      </c>
      <c r="E22" s="206" t="s">
        <v>81</v>
      </c>
      <c r="F22" s="164">
        <f>F25</f>
        <v>185</v>
      </c>
      <c r="G22" s="164"/>
      <c r="H22" s="164"/>
      <c r="I22" s="164"/>
      <c r="J22" s="250"/>
      <c r="K22" s="164">
        <v>0</v>
      </c>
      <c r="L22" s="164">
        <f t="shared" ref="L22:L31" si="2">F22*K22</f>
        <v>0</v>
      </c>
      <c r="M22" s="160" t="s">
        <v>73</v>
      </c>
      <c r="N22" s="164">
        <f t="shared" ref="N22:N31" si="3">IF(M22="5",I22,0)</f>
        <v>0</v>
      </c>
      <c r="Y22" s="164">
        <f t="shared" ref="Y22:Y31" si="4">IF(AC22=0,J22,0)</f>
        <v>0</v>
      </c>
      <c r="Z22" s="164">
        <f t="shared" ref="Z22:Z31" si="5">IF(AC22=15,J22,0)</f>
        <v>0</v>
      </c>
      <c r="AA22" s="164">
        <f t="shared" ref="AA22:AA31" si="6">IF(AC22=21,J22,0)</f>
        <v>0</v>
      </c>
      <c r="AC22" s="164">
        <v>21</v>
      </c>
      <c r="AD22" s="164">
        <f>G22*0</f>
        <v>0</v>
      </c>
      <c r="AE22" s="164">
        <f>G22*(1-0)</f>
        <v>0</v>
      </c>
      <c r="AL22" s="164">
        <f t="shared" ref="AL22:AL31" si="7">F22*AD22</f>
        <v>0</v>
      </c>
      <c r="AM22" s="164">
        <f t="shared" ref="AM22:AM31" si="8">F22*AE22</f>
        <v>0</v>
      </c>
      <c r="AN22" s="160" t="s">
        <v>92</v>
      </c>
      <c r="AO22" s="160" t="s">
        <v>76</v>
      </c>
      <c r="AP22" s="159" t="s">
        <v>77</v>
      </c>
    </row>
    <row r="23" spans="1:42" ht="24" x14ac:dyDescent="0.2">
      <c r="A23" s="246" t="s">
        <v>115</v>
      </c>
      <c r="B23" s="206"/>
      <c r="C23" s="206" t="s">
        <v>164</v>
      </c>
      <c r="D23" s="49" t="s">
        <v>167</v>
      </c>
      <c r="E23" s="206" t="s">
        <v>81</v>
      </c>
      <c r="F23" s="164">
        <f>F26</f>
        <v>198</v>
      </c>
      <c r="G23" s="164"/>
      <c r="H23" s="164"/>
      <c r="I23" s="164"/>
      <c r="J23" s="250"/>
      <c r="K23" s="164">
        <v>0</v>
      </c>
      <c r="L23" s="164">
        <f t="shared" si="2"/>
        <v>0</v>
      </c>
      <c r="M23" s="160" t="s">
        <v>73</v>
      </c>
      <c r="N23" s="164">
        <f t="shared" si="3"/>
        <v>0</v>
      </c>
      <c r="Y23" s="164">
        <f t="shared" si="4"/>
        <v>0</v>
      </c>
      <c r="Z23" s="164">
        <f t="shared" si="5"/>
        <v>0</v>
      </c>
      <c r="AA23" s="164">
        <f t="shared" si="6"/>
        <v>0</v>
      </c>
      <c r="AC23" s="164">
        <v>21</v>
      </c>
      <c r="AD23" s="164">
        <f>G23*0</f>
        <v>0</v>
      </c>
      <c r="AE23" s="164">
        <f>G23*(1-0)</f>
        <v>0</v>
      </c>
      <c r="AL23" s="164">
        <f t="shared" si="7"/>
        <v>0</v>
      </c>
      <c r="AM23" s="164">
        <f t="shared" si="8"/>
        <v>0</v>
      </c>
      <c r="AN23" s="160" t="s">
        <v>92</v>
      </c>
      <c r="AO23" s="160" t="s">
        <v>76</v>
      </c>
      <c r="AP23" s="159" t="s">
        <v>77</v>
      </c>
    </row>
    <row r="24" spans="1:42" x14ac:dyDescent="0.2">
      <c r="A24" s="246" t="s">
        <v>28</v>
      </c>
      <c r="B24" s="206"/>
      <c r="C24" s="206" t="s">
        <v>185</v>
      </c>
      <c r="D24" s="49" t="s">
        <v>186</v>
      </c>
      <c r="E24" s="206" t="s">
        <v>81</v>
      </c>
      <c r="F24" s="164">
        <f>F25</f>
        <v>185</v>
      </c>
      <c r="G24" s="164"/>
      <c r="H24" s="164"/>
      <c r="I24" s="164"/>
      <c r="J24" s="250"/>
      <c r="K24" s="164">
        <v>0</v>
      </c>
      <c r="L24" s="164">
        <f t="shared" si="2"/>
        <v>0</v>
      </c>
      <c r="M24" s="160" t="s">
        <v>73</v>
      </c>
      <c r="N24" s="164">
        <f t="shared" si="3"/>
        <v>0</v>
      </c>
      <c r="Y24" s="164">
        <f t="shared" si="4"/>
        <v>0</v>
      </c>
      <c r="Z24" s="164">
        <f t="shared" si="5"/>
        <v>0</v>
      </c>
      <c r="AA24" s="164">
        <f t="shared" si="6"/>
        <v>0</v>
      </c>
      <c r="AC24" s="164">
        <v>21</v>
      </c>
      <c r="AD24" s="164">
        <f>G24*0.0215646940822467</f>
        <v>0</v>
      </c>
      <c r="AE24" s="164">
        <f>G24*(1-0.0215646940822467)</f>
        <v>0</v>
      </c>
      <c r="AL24" s="164">
        <f t="shared" si="7"/>
        <v>0</v>
      </c>
      <c r="AM24" s="164">
        <f t="shared" si="8"/>
        <v>0</v>
      </c>
      <c r="AN24" s="160" t="s">
        <v>92</v>
      </c>
      <c r="AO24" s="160" t="s">
        <v>76</v>
      </c>
      <c r="AP24" s="159" t="s">
        <v>77</v>
      </c>
    </row>
    <row r="25" spans="1:42" x14ac:dyDescent="0.2">
      <c r="A25" s="246" t="s">
        <v>119</v>
      </c>
      <c r="B25" s="206"/>
      <c r="C25" s="206"/>
      <c r="D25" s="49" t="s">
        <v>190</v>
      </c>
      <c r="E25" s="206" t="s">
        <v>130</v>
      </c>
      <c r="F25" s="164">
        <v>185</v>
      </c>
      <c r="G25" s="164"/>
      <c r="H25" s="164"/>
      <c r="I25" s="164"/>
      <c r="J25" s="250"/>
      <c r="K25" s="164">
        <v>0</v>
      </c>
      <c r="L25" s="164">
        <f>F25*K25</f>
        <v>0</v>
      </c>
      <c r="M25" s="160" t="s">
        <v>101</v>
      </c>
      <c r="N25" s="164">
        <f>IF(M25="5",I25,0)</f>
        <v>0</v>
      </c>
      <c r="Y25" s="164">
        <f>IF(AC25=0,J25,0)</f>
        <v>0</v>
      </c>
      <c r="Z25" s="164">
        <f>IF(AC25=15,J25,0)</f>
        <v>0</v>
      </c>
      <c r="AA25" s="164">
        <f>IF(AC25=21,J25,0)</f>
        <v>0</v>
      </c>
      <c r="AC25" s="164">
        <v>21</v>
      </c>
      <c r="AD25" s="164">
        <f>G25*1</f>
        <v>0</v>
      </c>
      <c r="AE25" s="164">
        <f>G25*(1-1)</f>
        <v>0</v>
      </c>
      <c r="AL25" s="164">
        <f>F25*AD25</f>
        <v>0</v>
      </c>
      <c r="AM25" s="164">
        <f>F25*AE25</f>
        <v>0</v>
      </c>
      <c r="AN25" s="160" t="s">
        <v>92</v>
      </c>
      <c r="AO25" s="160" t="s">
        <v>76</v>
      </c>
      <c r="AP25" s="159" t="s">
        <v>77</v>
      </c>
    </row>
    <row r="26" spans="1:42" x14ac:dyDescent="0.2">
      <c r="A26" s="246" t="s">
        <v>121</v>
      </c>
      <c r="B26" s="206"/>
      <c r="C26" s="206" t="s">
        <v>192</v>
      </c>
      <c r="D26" s="49" t="s">
        <v>193</v>
      </c>
      <c r="E26" s="206" t="s">
        <v>81</v>
      </c>
      <c r="F26" s="164">
        <f>F27+F28+F29</f>
        <v>198</v>
      </c>
      <c r="G26" s="164"/>
      <c r="H26" s="164"/>
      <c r="I26" s="164"/>
      <c r="J26" s="250"/>
      <c r="K26" s="164">
        <v>0</v>
      </c>
      <c r="L26" s="164">
        <f t="shared" si="2"/>
        <v>0</v>
      </c>
      <c r="M26" s="160" t="s">
        <v>73</v>
      </c>
      <c r="N26" s="164">
        <f t="shared" si="3"/>
        <v>0</v>
      </c>
      <c r="Y26" s="164">
        <f t="shared" si="4"/>
        <v>0</v>
      </c>
      <c r="Z26" s="164">
        <f t="shared" si="5"/>
        <v>0</v>
      </c>
      <c r="AA26" s="164">
        <f t="shared" si="6"/>
        <v>0</v>
      </c>
      <c r="AC26" s="164">
        <v>21</v>
      </c>
      <c r="AD26" s="164">
        <f>G26*0.0162617180026784</f>
        <v>0</v>
      </c>
      <c r="AE26" s="164">
        <f>G26*(1-0.0162617180026784)</f>
        <v>0</v>
      </c>
      <c r="AL26" s="164">
        <f t="shared" si="7"/>
        <v>0</v>
      </c>
      <c r="AM26" s="164">
        <f t="shared" si="8"/>
        <v>0</v>
      </c>
      <c r="AN26" s="160" t="s">
        <v>92</v>
      </c>
      <c r="AO26" s="160" t="s">
        <v>76</v>
      </c>
      <c r="AP26" s="159" t="s">
        <v>77</v>
      </c>
    </row>
    <row r="27" spans="1:42" ht="15" x14ac:dyDescent="0.25">
      <c r="A27" s="246" t="s">
        <v>124</v>
      </c>
      <c r="B27" s="206"/>
      <c r="C27" s="206"/>
      <c r="D27" s="217" t="s">
        <v>290</v>
      </c>
      <c r="E27" s="206" t="s">
        <v>130</v>
      </c>
      <c r="F27" s="284">
        <v>54</v>
      </c>
      <c r="G27" s="164"/>
      <c r="H27" s="164"/>
      <c r="I27" s="164"/>
      <c r="J27" s="250"/>
      <c r="K27" s="164">
        <v>0</v>
      </c>
      <c r="L27" s="164">
        <f t="shared" si="2"/>
        <v>0</v>
      </c>
      <c r="M27" s="160" t="s">
        <v>101</v>
      </c>
      <c r="N27" s="164">
        <f t="shared" si="3"/>
        <v>0</v>
      </c>
      <c r="Y27" s="164">
        <f t="shared" si="4"/>
        <v>0</v>
      </c>
      <c r="Z27" s="164">
        <f t="shared" si="5"/>
        <v>0</v>
      </c>
      <c r="AA27" s="164">
        <f t="shared" si="6"/>
        <v>0</v>
      </c>
      <c r="AC27" s="164">
        <v>21</v>
      </c>
      <c r="AD27" s="164">
        <f>G27*1</f>
        <v>0</v>
      </c>
      <c r="AE27" s="164">
        <f>G27*(1-1)</f>
        <v>0</v>
      </c>
      <c r="AL27" s="164">
        <f t="shared" si="7"/>
        <v>0</v>
      </c>
      <c r="AM27" s="164">
        <f t="shared" si="8"/>
        <v>0</v>
      </c>
      <c r="AN27" s="160" t="s">
        <v>92</v>
      </c>
      <c r="AO27" s="160" t="s">
        <v>76</v>
      </c>
      <c r="AP27" s="159" t="s">
        <v>77</v>
      </c>
    </row>
    <row r="28" spans="1:42" ht="15" x14ac:dyDescent="0.25">
      <c r="A28" s="246" t="s">
        <v>127</v>
      </c>
      <c r="B28" s="206"/>
      <c r="C28" s="206"/>
      <c r="D28" s="217" t="s">
        <v>291</v>
      </c>
      <c r="E28" s="206" t="s">
        <v>130</v>
      </c>
      <c r="F28" s="284">
        <v>41</v>
      </c>
      <c r="G28" s="164"/>
      <c r="H28" s="164"/>
      <c r="I28" s="164"/>
      <c r="J28" s="250"/>
      <c r="K28" s="164">
        <v>0</v>
      </c>
      <c r="L28" s="164">
        <f t="shared" si="2"/>
        <v>0</v>
      </c>
      <c r="M28" s="160" t="s">
        <v>101</v>
      </c>
      <c r="N28" s="164">
        <f t="shared" si="3"/>
        <v>0</v>
      </c>
      <c r="Y28" s="164">
        <f t="shared" si="4"/>
        <v>0</v>
      </c>
      <c r="Z28" s="164">
        <f t="shared" si="5"/>
        <v>0</v>
      </c>
      <c r="AA28" s="164">
        <f t="shared" si="6"/>
        <v>0</v>
      </c>
      <c r="AC28" s="164">
        <v>21</v>
      </c>
      <c r="AD28" s="164">
        <f>G28*1</f>
        <v>0</v>
      </c>
      <c r="AE28" s="164">
        <f>G28*(1-1)</f>
        <v>0</v>
      </c>
      <c r="AL28" s="164">
        <f t="shared" si="7"/>
        <v>0</v>
      </c>
      <c r="AM28" s="164">
        <f t="shared" si="8"/>
        <v>0</v>
      </c>
      <c r="AN28" s="160" t="s">
        <v>92</v>
      </c>
      <c r="AO28" s="160" t="s">
        <v>76</v>
      </c>
      <c r="AP28" s="159" t="s">
        <v>77</v>
      </c>
    </row>
    <row r="29" spans="1:42" ht="15" x14ac:dyDescent="0.25">
      <c r="A29" s="246" t="s">
        <v>131</v>
      </c>
      <c r="B29" s="206"/>
      <c r="C29" s="206"/>
      <c r="D29" s="217" t="s">
        <v>292</v>
      </c>
      <c r="E29" s="206" t="s">
        <v>130</v>
      </c>
      <c r="F29" s="284">
        <v>103</v>
      </c>
      <c r="G29" s="164"/>
      <c r="H29" s="164"/>
      <c r="I29" s="164"/>
      <c r="J29" s="250"/>
      <c r="K29" s="164">
        <v>0</v>
      </c>
      <c r="L29" s="164">
        <f t="shared" si="2"/>
        <v>0</v>
      </c>
      <c r="M29" s="160" t="s">
        <v>101</v>
      </c>
      <c r="N29" s="164">
        <f t="shared" si="3"/>
        <v>0</v>
      </c>
      <c r="Y29" s="164">
        <f t="shared" si="4"/>
        <v>0</v>
      </c>
      <c r="Z29" s="164">
        <f t="shared" si="5"/>
        <v>0</v>
      </c>
      <c r="AA29" s="164">
        <f t="shared" si="6"/>
        <v>0</v>
      </c>
      <c r="AC29" s="164">
        <v>21</v>
      </c>
      <c r="AD29" s="164">
        <f>G29*1</f>
        <v>0</v>
      </c>
      <c r="AE29" s="164">
        <f>G29*(1-1)</f>
        <v>0</v>
      </c>
      <c r="AL29" s="164">
        <f t="shared" si="7"/>
        <v>0</v>
      </c>
      <c r="AM29" s="164">
        <f t="shared" si="8"/>
        <v>0</v>
      </c>
      <c r="AN29" s="160" t="s">
        <v>92</v>
      </c>
      <c r="AO29" s="160" t="s">
        <v>76</v>
      </c>
      <c r="AP29" s="159" t="s">
        <v>77</v>
      </c>
    </row>
    <row r="30" spans="1:42" ht="24" x14ac:dyDescent="0.2">
      <c r="A30" s="246" t="s">
        <v>134</v>
      </c>
      <c r="B30" s="206"/>
      <c r="C30" s="206" t="s">
        <v>224</v>
      </c>
      <c r="D30" s="49" t="s">
        <v>225</v>
      </c>
      <c r="E30" s="206" t="s">
        <v>88</v>
      </c>
      <c r="F30" s="186">
        <v>1.4460000000000001E-2</v>
      </c>
      <c r="G30" s="164"/>
      <c r="H30" s="164"/>
      <c r="I30" s="164"/>
      <c r="J30" s="250"/>
      <c r="K30" s="164">
        <v>0</v>
      </c>
      <c r="L30" s="164">
        <f t="shared" si="2"/>
        <v>0</v>
      </c>
      <c r="M30" s="160" t="s">
        <v>73</v>
      </c>
      <c r="N30" s="164">
        <f t="shared" si="3"/>
        <v>0</v>
      </c>
      <c r="Y30" s="164">
        <f t="shared" si="4"/>
        <v>0</v>
      </c>
      <c r="Z30" s="164">
        <f t="shared" si="5"/>
        <v>0</v>
      </c>
      <c r="AA30" s="164">
        <f t="shared" si="6"/>
        <v>0</v>
      </c>
      <c r="AC30" s="164">
        <v>21</v>
      </c>
      <c r="AD30" s="164">
        <f>G30*0</f>
        <v>0</v>
      </c>
      <c r="AE30" s="164">
        <f>G30*(1-0)</f>
        <v>0</v>
      </c>
      <c r="AL30" s="164">
        <f t="shared" si="7"/>
        <v>0</v>
      </c>
      <c r="AM30" s="164">
        <f t="shared" si="8"/>
        <v>0</v>
      </c>
      <c r="AN30" s="160" t="s">
        <v>92</v>
      </c>
      <c r="AO30" s="160" t="s">
        <v>76</v>
      </c>
      <c r="AP30" s="159" t="s">
        <v>77</v>
      </c>
    </row>
    <row r="31" spans="1:42" x14ac:dyDescent="0.2">
      <c r="A31" s="246" t="s">
        <v>137</v>
      </c>
      <c r="B31" s="206"/>
      <c r="C31" s="206" t="s">
        <v>227</v>
      </c>
      <c r="D31" s="49" t="s">
        <v>228</v>
      </c>
      <c r="E31" s="206" t="s">
        <v>229</v>
      </c>
      <c r="F31" s="164">
        <v>14.46</v>
      </c>
      <c r="G31" s="164"/>
      <c r="H31" s="164"/>
      <c r="I31" s="164"/>
      <c r="J31" s="250"/>
      <c r="K31" s="164">
        <v>1E-3</v>
      </c>
      <c r="L31" s="164">
        <f t="shared" si="2"/>
        <v>1.4460000000000001E-2</v>
      </c>
      <c r="M31" s="160" t="s">
        <v>101</v>
      </c>
      <c r="N31" s="164">
        <f t="shared" si="3"/>
        <v>0</v>
      </c>
      <c r="Y31" s="164">
        <f t="shared" si="4"/>
        <v>0</v>
      </c>
      <c r="Z31" s="164">
        <f t="shared" si="5"/>
        <v>0</v>
      </c>
      <c r="AA31" s="164">
        <f t="shared" si="6"/>
        <v>0</v>
      </c>
      <c r="AC31" s="164">
        <v>21</v>
      </c>
      <c r="AD31" s="164">
        <f>G31*1</f>
        <v>0</v>
      </c>
      <c r="AE31" s="164">
        <f>G31*(1-1)</f>
        <v>0</v>
      </c>
      <c r="AL31" s="164">
        <f t="shared" si="7"/>
        <v>0</v>
      </c>
      <c r="AM31" s="164">
        <f t="shared" si="8"/>
        <v>0</v>
      </c>
      <c r="AN31" s="160" t="s">
        <v>92</v>
      </c>
      <c r="AO31" s="160" t="s">
        <v>76</v>
      </c>
      <c r="AP31" s="159" t="s">
        <v>77</v>
      </c>
    </row>
    <row r="32" spans="1:42" x14ac:dyDescent="0.2">
      <c r="A32" s="246" t="s">
        <v>141</v>
      </c>
      <c r="B32" s="206"/>
      <c r="C32" s="206" t="s">
        <v>236</v>
      </c>
      <c r="D32" s="49" t="s">
        <v>237</v>
      </c>
      <c r="E32" s="206" t="s">
        <v>74</v>
      </c>
      <c r="F32" s="164">
        <v>0</v>
      </c>
      <c r="G32" s="164"/>
      <c r="H32" s="164"/>
      <c r="I32" s="164"/>
      <c r="J32" s="250"/>
      <c r="K32" s="164">
        <v>0</v>
      </c>
      <c r="L32" s="164">
        <f>F32*K32</f>
        <v>0</v>
      </c>
      <c r="M32" s="160" t="s">
        <v>73</v>
      </c>
      <c r="N32" s="164">
        <f>IF(M32="5",I32,0)</f>
        <v>0</v>
      </c>
      <c r="Y32" s="164">
        <f>IF(AC32=0,J32,0)</f>
        <v>0</v>
      </c>
      <c r="Z32" s="164">
        <f>IF(AC32=15,J32,0)</f>
        <v>0</v>
      </c>
      <c r="AA32" s="164">
        <f>IF(AC32=21,J32,0)</f>
        <v>0</v>
      </c>
      <c r="AC32" s="164">
        <v>21</v>
      </c>
      <c r="AD32" s="164">
        <f>G32*0</f>
        <v>0</v>
      </c>
      <c r="AE32" s="164">
        <f>G32*(1-0)</f>
        <v>0</v>
      </c>
      <c r="AL32" s="164">
        <f>F32*AD32</f>
        <v>0</v>
      </c>
      <c r="AM32" s="164">
        <f>F32*AE32</f>
        <v>0</v>
      </c>
      <c r="AN32" s="160" t="s">
        <v>92</v>
      </c>
      <c r="AO32" s="160" t="s">
        <v>76</v>
      </c>
      <c r="AP32" s="159" t="s">
        <v>77</v>
      </c>
    </row>
    <row r="33" spans="1:42" ht="15" x14ac:dyDescent="0.25">
      <c r="A33" s="246" t="s">
        <v>144</v>
      </c>
      <c r="B33" s="206"/>
      <c r="C33" s="206"/>
      <c r="D33" s="217" t="s">
        <v>239</v>
      </c>
      <c r="E33" s="206" t="s">
        <v>74</v>
      </c>
      <c r="F33" s="284">
        <v>184</v>
      </c>
      <c r="G33" s="164"/>
      <c r="H33" s="164"/>
      <c r="I33" s="164"/>
      <c r="J33" s="250"/>
      <c r="K33" s="164">
        <v>0</v>
      </c>
      <c r="L33" s="164">
        <f>F33*K33</f>
        <v>0</v>
      </c>
      <c r="M33" s="160" t="s">
        <v>101</v>
      </c>
      <c r="N33" s="164">
        <f>IF(M33="5",I33,0)</f>
        <v>0</v>
      </c>
      <c r="Y33" s="164">
        <f>IF(AC33=0,J33,0)</f>
        <v>0</v>
      </c>
      <c r="Z33" s="164">
        <f>IF(AC33=15,J33,0)</f>
        <v>0</v>
      </c>
      <c r="AA33" s="164">
        <f>IF(AC33=21,J33,0)</f>
        <v>0</v>
      </c>
      <c r="AC33" s="164">
        <v>21</v>
      </c>
      <c r="AD33" s="164">
        <f>G33*1</f>
        <v>0</v>
      </c>
      <c r="AE33" s="164">
        <f>G33*(1-1)</f>
        <v>0</v>
      </c>
      <c r="AL33" s="164">
        <f>F33*AD33</f>
        <v>0</v>
      </c>
      <c r="AM33" s="164">
        <f>F33*AE33</f>
        <v>0</v>
      </c>
      <c r="AN33" s="160" t="s">
        <v>92</v>
      </c>
      <c r="AO33" s="160" t="s">
        <v>76</v>
      </c>
      <c r="AP33" s="159" t="s">
        <v>77</v>
      </c>
    </row>
    <row r="34" spans="1:42" x14ac:dyDescent="0.2">
      <c r="A34" s="248"/>
      <c r="B34" s="205"/>
      <c r="C34" s="205" t="s">
        <v>30</v>
      </c>
      <c r="D34" s="308" t="s">
        <v>31</v>
      </c>
      <c r="E34" s="309"/>
      <c r="F34" s="309"/>
      <c r="G34" s="309"/>
      <c r="H34" s="163">
        <f>SUM(H35:H35)</f>
        <v>0</v>
      </c>
      <c r="I34" s="163">
        <f>SUM(I35:I35)</f>
        <v>0</v>
      </c>
      <c r="J34" s="249">
        <f>H34+I34</f>
        <v>0</v>
      </c>
      <c r="K34" s="159"/>
      <c r="L34" s="163">
        <f>SUM(L35:L35)</f>
        <v>0</v>
      </c>
      <c r="O34" s="163">
        <f>IF(P34="PR",J34,SUM(N35:N35))</f>
        <v>0</v>
      </c>
      <c r="P34" s="159" t="s">
        <v>242</v>
      </c>
      <c r="Q34" s="163">
        <f>IF(P34="HS",H34,0)</f>
        <v>0</v>
      </c>
      <c r="R34" s="163">
        <f>IF(P34="HS",I34-O34,0)</f>
        <v>0</v>
      </c>
      <c r="S34" s="163">
        <f>IF(P34="PS",H34,0)</f>
        <v>0</v>
      </c>
      <c r="T34" s="163">
        <f>IF(P34="PS",I34-O34,0)</f>
        <v>0</v>
      </c>
      <c r="U34" s="163">
        <f>IF(P34="MP",H34,0)</f>
        <v>0</v>
      </c>
      <c r="V34" s="163">
        <f>IF(P34="MP",I34-O34,0)</f>
        <v>0</v>
      </c>
      <c r="W34" s="163">
        <f>IF(P34="OM",H34,0)</f>
        <v>0</v>
      </c>
      <c r="X34" s="159"/>
      <c r="AH34" s="163">
        <f>SUM(Y35:Y35)</f>
        <v>0</v>
      </c>
      <c r="AI34" s="163">
        <f>SUM(Z35:Z35)</f>
        <v>0</v>
      </c>
      <c r="AJ34" s="163">
        <f>SUM(AA35:AA35)</f>
        <v>0</v>
      </c>
    </row>
    <row r="35" spans="1:42" ht="24.75" thickBot="1" x14ac:dyDescent="0.25">
      <c r="A35" s="246" t="s">
        <v>147</v>
      </c>
      <c r="B35" s="206"/>
      <c r="C35" s="206" t="s">
        <v>244</v>
      </c>
      <c r="D35" s="49" t="s">
        <v>293</v>
      </c>
      <c r="E35" s="206" t="s">
        <v>84</v>
      </c>
      <c r="F35" s="164">
        <v>9</v>
      </c>
      <c r="G35" s="164"/>
      <c r="H35" s="164"/>
      <c r="I35" s="164"/>
      <c r="J35" s="250"/>
      <c r="K35" s="164">
        <v>0</v>
      </c>
      <c r="L35" s="164">
        <f>F35*K35</f>
        <v>0</v>
      </c>
      <c r="M35" s="160" t="s">
        <v>78</v>
      </c>
      <c r="N35" s="164">
        <f>IF(M35="5",I35,0)</f>
        <v>0</v>
      </c>
      <c r="Y35" s="164">
        <f>IF(AC35=0,J35,0)</f>
        <v>0</v>
      </c>
      <c r="Z35" s="164">
        <f>IF(AC35=15,J35,0)</f>
        <v>0</v>
      </c>
      <c r="AA35" s="164">
        <f>IF(AC35=21,J35,0)</f>
        <v>0</v>
      </c>
      <c r="AC35" s="164">
        <v>21</v>
      </c>
      <c r="AD35" s="164">
        <f>G35*0</f>
        <v>0</v>
      </c>
      <c r="AE35" s="164">
        <f>G35*(1-0)</f>
        <v>0</v>
      </c>
      <c r="AL35" s="164">
        <f>F35*AD35</f>
        <v>0</v>
      </c>
      <c r="AM35" s="164">
        <f>F35*AE35</f>
        <v>0</v>
      </c>
      <c r="AN35" s="160" t="s">
        <v>245</v>
      </c>
      <c r="AO35" s="160" t="s">
        <v>246</v>
      </c>
      <c r="AP35" s="159" t="s">
        <v>77</v>
      </c>
    </row>
    <row r="36" spans="1:42" s="172" customFormat="1" ht="13.5" thickBot="1" x14ac:dyDescent="0.25">
      <c r="A36" s="166"/>
      <c r="B36" s="167"/>
      <c r="C36" s="167"/>
      <c r="D36" s="50" t="s">
        <v>247</v>
      </c>
      <c r="E36" s="167"/>
      <c r="F36" s="168"/>
      <c r="G36" s="168"/>
      <c r="H36" s="168"/>
      <c r="I36" s="168"/>
      <c r="J36" s="169">
        <f>J34+J7+J5</f>
        <v>0</v>
      </c>
      <c r="K36" s="168"/>
      <c r="L36" s="169"/>
      <c r="M36" s="170"/>
      <c r="N36" s="171"/>
      <c r="Y36" s="171"/>
      <c r="Z36" s="171"/>
      <c r="AA36" s="171"/>
      <c r="AC36" s="171"/>
      <c r="AD36" s="171"/>
      <c r="AE36" s="171"/>
      <c r="AL36" s="171"/>
      <c r="AM36" s="171"/>
      <c r="AN36" s="170"/>
      <c r="AO36" s="170"/>
      <c r="AP36" s="173"/>
    </row>
    <row r="37" spans="1:42" ht="13.5" thickBot="1" x14ac:dyDescent="0.25">
      <c r="A37" s="274"/>
      <c r="B37" s="275"/>
      <c r="C37" s="275"/>
      <c r="D37" s="228"/>
      <c r="E37" s="275"/>
      <c r="F37" s="275"/>
      <c r="G37" s="275"/>
      <c r="H37" s="310" t="s">
        <v>263</v>
      </c>
      <c r="I37" s="310"/>
      <c r="J37" s="169">
        <f>J36</f>
        <v>0</v>
      </c>
      <c r="K37" s="162"/>
      <c r="L37" s="174"/>
      <c r="Y37" s="164">
        <f>SUM(Y6:Y36)</f>
        <v>0</v>
      </c>
      <c r="Z37" s="164">
        <f>SUM(Z6:Z36)</f>
        <v>0</v>
      </c>
      <c r="AA37" s="164">
        <f>SUM(AA6:AA36)</f>
        <v>0</v>
      </c>
    </row>
    <row r="38" spans="1:42" customFormat="1" ht="13.5" thickBot="1" x14ac:dyDescent="0.25">
      <c r="D38" s="266" t="s">
        <v>411</v>
      </c>
    </row>
    <row r="39" spans="1:42" customFormat="1" x14ac:dyDescent="0.2">
      <c r="D39" s="267" t="s">
        <v>412</v>
      </c>
      <c r="E39" s="120" t="s">
        <v>416</v>
      </c>
      <c r="F39" s="268">
        <f>F8</f>
        <v>535</v>
      </c>
    </row>
    <row r="40" spans="1:42" customFormat="1" x14ac:dyDescent="0.2">
      <c r="D40" s="269" t="s">
        <v>413</v>
      </c>
      <c r="E40" s="101" t="s">
        <v>416</v>
      </c>
      <c r="F40" s="270">
        <f>F18</f>
        <v>351</v>
      </c>
    </row>
    <row r="41" spans="1:42" customFormat="1" x14ac:dyDescent="0.2">
      <c r="D41" s="269" t="s">
        <v>414</v>
      </c>
      <c r="E41" s="101" t="s">
        <v>130</v>
      </c>
      <c r="F41" s="270">
        <v>0</v>
      </c>
    </row>
    <row r="42" spans="1:42" customFormat="1" x14ac:dyDescent="0.2">
      <c r="D42" s="269" t="s">
        <v>415</v>
      </c>
      <c r="E42" s="101" t="s">
        <v>130</v>
      </c>
      <c r="F42" s="270">
        <f>F24+F26</f>
        <v>383</v>
      </c>
    </row>
    <row r="43" spans="1:42" customFormat="1" ht="13.5" thickBot="1" x14ac:dyDescent="0.25">
      <c r="D43" s="271" t="s">
        <v>417</v>
      </c>
      <c r="E43" s="272" t="s">
        <v>416</v>
      </c>
      <c r="F43" s="273">
        <f>F39-F40</f>
        <v>184</v>
      </c>
    </row>
  </sheetData>
  <mergeCells count="8">
    <mergeCell ref="A1:J1"/>
    <mergeCell ref="H2:J2"/>
    <mergeCell ref="K2:L2"/>
    <mergeCell ref="D5:G5"/>
    <mergeCell ref="D7:G7"/>
    <mergeCell ref="H37:I37"/>
    <mergeCell ref="D34:G34"/>
    <mergeCell ref="D19:J19"/>
  </mergeCells>
  <pageMargins left="0.7" right="0.7" top="0.75" bottom="0.75" header="0.3" footer="0.3"/>
  <pageSetup paperSize="9" orientation="landscape" horizontalDpi="4294967294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65"/>
  <sheetViews>
    <sheetView workbookViewId="0">
      <selection activeCell="H12" sqref="H12"/>
    </sheetView>
  </sheetViews>
  <sheetFormatPr defaultColWidth="11.5703125" defaultRowHeight="12.75" x14ac:dyDescent="0.2"/>
  <cols>
    <col min="1" max="1" width="3.7109375" customWidth="1"/>
    <col min="2" max="2" width="6.85546875" customWidth="1"/>
    <col min="3" max="3" width="13.28515625" customWidth="1"/>
    <col min="4" max="4" width="48.7109375" style="31" customWidth="1"/>
    <col min="5" max="5" width="4.28515625" customWidth="1"/>
    <col min="6" max="6" width="12.85546875" customWidth="1"/>
    <col min="7" max="7" width="12" customWidth="1"/>
    <col min="8" max="10" width="14.28515625" customWidth="1"/>
    <col min="11" max="12" width="11.7109375" customWidth="1"/>
    <col min="13" max="13" width="0" hidden="1" customWidth="1"/>
    <col min="14" max="46" width="12.140625" hidden="1" customWidth="1"/>
  </cols>
  <sheetData>
    <row r="1" spans="1:47" ht="24" thickBot="1" x14ac:dyDescent="0.4">
      <c r="A1" s="296" t="s">
        <v>421</v>
      </c>
      <c r="B1" s="297"/>
      <c r="C1" s="297"/>
      <c r="D1" s="297"/>
      <c r="E1" s="297"/>
      <c r="F1" s="297"/>
      <c r="G1" s="297"/>
      <c r="H1" s="286"/>
      <c r="I1" s="286"/>
      <c r="J1" s="287"/>
      <c r="K1" s="55"/>
      <c r="L1" s="55"/>
    </row>
    <row r="2" spans="1:47" x14ac:dyDescent="0.2">
      <c r="A2" s="17" t="s">
        <v>50</v>
      </c>
      <c r="B2" s="18" t="s">
        <v>13</v>
      </c>
      <c r="C2" s="18" t="s">
        <v>18</v>
      </c>
      <c r="D2" s="47" t="s">
        <v>51</v>
      </c>
      <c r="E2" s="18" t="s">
        <v>52</v>
      </c>
      <c r="F2" s="19" t="s">
        <v>53</v>
      </c>
      <c r="G2" s="20" t="s">
        <v>54</v>
      </c>
      <c r="H2" s="301" t="s">
        <v>55</v>
      </c>
      <c r="I2" s="302"/>
      <c r="J2" s="303"/>
      <c r="K2" s="293" t="s">
        <v>56</v>
      </c>
      <c r="L2" s="294"/>
      <c r="M2" s="13"/>
    </row>
    <row r="3" spans="1:47" ht="13.5" thickBot="1" x14ac:dyDescent="0.25">
      <c r="A3" s="2" t="s">
        <v>57</v>
      </c>
      <c r="B3" s="7" t="s">
        <v>57</v>
      </c>
      <c r="C3" s="7" t="s">
        <v>57</v>
      </c>
      <c r="D3" s="48" t="s">
        <v>58</v>
      </c>
      <c r="E3" s="7" t="s">
        <v>57</v>
      </c>
      <c r="F3" s="7" t="s">
        <v>57</v>
      </c>
      <c r="G3" s="21" t="s">
        <v>59</v>
      </c>
      <c r="H3" s="22" t="s">
        <v>60</v>
      </c>
      <c r="I3" s="23" t="s">
        <v>8</v>
      </c>
      <c r="J3" s="24" t="s">
        <v>61</v>
      </c>
      <c r="K3" s="277" t="s">
        <v>54</v>
      </c>
      <c r="L3" s="24" t="s">
        <v>61</v>
      </c>
      <c r="M3" s="13"/>
      <c r="O3" s="25" t="s">
        <v>62</v>
      </c>
      <c r="P3" s="25" t="s">
        <v>63</v>
      </c>
      <c r="Q3" s="25" t="s">
        <v>64</v>
      </c>
      <c r="R3" s="25" t="s">
        <v>65</v>
      </c>
      <c r="S3" s="25" t="s">
        <v>66</v>
      </c>
      <c r="T3" s="25" t="s">
        <v>67</v>
      </c>
      <c r="U3" s="25" t="s">
        <v>68</v>
      </c>
      <c r="V3" s="25" t="s">
        <v>69</v>
      </c>
      <c r="W3" s="25" t="s">
        <v>70</v>
      </c>
    </row>
    <row r="4" spans="1:47" x14ac:dyDescent="0.2">
      <c r="A4" s="127"/>
      <c r="B4" s="203" t="s">
        <v>71</v>
      </c>
      <c r="C4" s="203" t="s">
        <v>23</v>
      </c>
      <c r="D4" s="49"/>
      <c r="E4" s="203"/>
      <c r="F4" s="203"/>
      <c r="G4" s="15"/>
      <c r="H4" s="32"/>
      <c r="I4" s="32"/>
      <c r="J4" s="278"/>
      <c r="K4" s="32"/>
      <c r="L4" s="32"/>
      <c r="M4" s="33"/>
      <c r="O4" s="25"/>
      <c r="P4" s="25"/>
      <c r="Q4" s="25"/>
      <c r="R4" s="25"/>
      <c r="S4" s="25"/>
      <c r="T4" s="25"/>
      <c r="U4" s="25"/>
      <c r="V4" s="25"/>
      <c r="W4" s="25"/>
    </row>
    <row r="5" spans="1:47" x14ac:dyDescent="0.2">
      <c r="A5" s="262"/>
      <c r="B5" s="202"/>
      <c r="C5" s="202" t="s">
        <v>28</v>
      </c>
      <c r="D5" s="299" t="s">
        <v>29</v>
      </c>
      <c r="E5" s="300"/>
      <c r="F5" s="300"/>
      <c r="G5" s="300"/>
      <c r="H5" s="28">
        <f>SUM(H6:H57)</f>
        <v>0</v>
      </c>
      <c r="I5" s="28">
        <f>SUM(I6:I57)</f>
        <v>0</v>
      </c>
      <c r="J5" s="263">
        <f>H5+I5</f>
        <v>0</v>
      </c>
      <c r="K5" s="25"/>
      <c r="L5" s="28">
        <f>SUM(L6:L57)</f>
        <v>75.198241279999991</v>
      </c>
      <c r="O5" s="28">
        <f>IF(P5="PR",J5,SUM(N6:N54))</f>
        <v>0</v>
      </c>
      <c r="P5" s="25" t="s">
        <v>72</v>
      </c>
      <c r="Q5" s="28">
        <f>IF(P5="HS",H5,0)</f>
        <v>0</v>
      </c>
      <c r="R5" s="28">
        <f>IF(P5="HS",I5-O5,0)</f>
        <v>0</v>
      </c>
      <c r="S5" s="28">
        <f>IF(P5="PS",H5,0)</f>
        <v>0</v>
      </c>
      <c r="T5" s="28">
        <f>IF(P5="PS",I5-O5,0)</f>
        <v>0</v>
      </c>
      <c r="U5" s="28">
        <f>IF(P5="MP",H5,0)</f>
        <v>0</v>
      </c>
      <c r="V5" s="28">
        <f>IF(P5="MP",I5-O5,0)</f>
        <v>0</v>
      </c>
      <c r="W5" s="28">
        <f>IF(P5="OM",H5,0)</f>
        <v>0</v>
      </c>
      <c r="X5" s="25"/>
      <c r="AH5" s="28">
        <f>SUM(Y6:Y54)</f>
        <v>0</v>
      </c>
      <c r="AI5" s="28">
        <f>SUM(Z6:Z54)</f>
        <v>0</v>
      </c>
      <c r="AJ5" s="28">
        <f>SUM(AA6:AA54)</f>
        <v>0</v>
      </c>
    </row>
    <row r="6" spans="1:47" ht="24" x14ac:dyDescent="0.2">
      <c r="A6" s="215" t="s">
        <v>73</v>
      </c>
      <c r="B6" s="3"/>
      <c r="C6" s="3" t="s">
        <v>90</v>
      </c>
      <c r="D6" s="49" t="s">
        <v>390</v>
      </c>
      <c r="E6" s="3" t="s">
        <v>74</v>
      </c>
      <c r="F6" s="9">
        <v>2158</v>
      </c>
      <c r="G6" s="9"/>
      <c r="H6" s="9"/>
      <c r="I6" s="9"/>
      <c r="J6" s="256"/>
      <c r="K6" s="9">
        <v>0</v>
      </c>
      <c r="L6" s="9">
        <f t="shared" ref="L6" si="0">F6*K6</f>
        <v>0</v>
      </c>
      <c r="M6" s="11" t="s">
        <v>73</v>
      </c>
      <c r="N6" s="9">
        <f t="shared" ref="N6" si="1">IF(M6="5",I6,0)</f>
        <v>0</v>
      </c>
      <c r="Y6" s="9">
        <f t="shared" ref="Y6" si="2">IF(AC6=0,J6,0)</f>
        <v>0</v>
      </c>
      <c r="Z6" s="9">
        <f t="shared" ref="Z6" si="3">IF(AC6=15,J6,0)</f>
        <v>0</v>
      </c>
      <c r="AA6" s="9">
        <f t="shared" ref="AA6" si="4">IF(AC6=21,J6,0)</f>
        <v>0</v>
      </c>
      <c r="AC6" s="14">
        <v>21</v>
      </c>
      <c r="AD6" s="14">
        <f>G6*0.0152671755725191</f>
        <v>0</v>
      </c>
      <c r="AE6" s="14">
        <f>G6*(1-0.0152671755725191)</f>
        <v>0</v>
      </c>
      <c r="AL6" s="14">
        <f t="shared" ref="AL6" si="5">F6*AD6</f>
        <v>0</v>
      </c>
      <c r="AM6" s="14">
        <f t="shared" ref="AM6" si="6">F6*AE6</f>
        <v>0</v>
      </c>
      <c r="AN6" s="15" t="s">
        <v>92</v>
      </c>
      <c r="AO6" s="15" t="s">
        <v>76</v>
      </c>
      <c r="AP6" s="25" t="s">
        <v>77</v>
      </c>
    </row>
    <row r="7" spans="1:47" x14ac:dyDescent="0.2">
      <c r="A7" s="215" t="s">
        <v>78</v>
      </c>
      <c r="B7" s="3"/>
      <c r="C7" s="3"/>
      <c r="D7" s="49" t="s">
        <v>392</v>
      </c>
      <c r="E7" s="3" t="s">
        <v>95</v>
      </c>
      <c r="F7" s="9">
        <f>F6*0.001</f>
        <v>2.1579999999999999</v>
      </c>
      <c r="G7" s="9"/>
      <c r="H7" s="9"/>
      <c r="I7" s="9"/>
      <c r="J7" s="256"/>
      <c r="K7" s="9">
        <v>0</v>
      </c>
      <c r="L7" s="9">
        <f t="shared" ref="L7:L18" si="7">F7*K7</f>
        <v>0</v>
      </c>
      <c r="M7" s="11"/>
      <c r="N7" s="9"/>
      <c r="Y7" s="9"/>
      <c r="Z7" s="9"/>
      <c r="AA7" s="9"/>
      <c r="AC7" s="14"/>
      <c r="AD7" s="14"/>
      <c r="AE7" s="14"/>
      <c r="AL7" s="14"/>
      <c r="AM7" s="14"/>
      <c r="AN7" s="15"/>
      <c r="AO7" s="15"/>
      <c r="AP7" s="25"/>
    </row>
    <row r="8" spans="1:47" ht="22.5" x14ac:dyDescent="0.2">
      <c r="A8" s="215" t="s">
        <v>85</v>
      </c>
      <c r="B8" s="3"/>
      <c r="C8" s="208" t="s">
        <v>394</v>
      </c>
      <c r="D8" s="209" t="s">
        <v>395</v>
      </c>
      <c r="E8" s="3" t="s">
        <v>88</v>
      </c>
      <c r="F8" s="10">
        <f>F6/10000*120</f>
        <v>25.896000000000001</v>
      </c>
      <c r="G8" s="9"/>
      <c r="H8" s="9"/>
      <c r="I8" s="9"/>
      <c r="J8" s="256"/>
      <c r="K8" s="9">
        <v>3.0000000000000001E-5</v>
      </c>
      <c r="L8" s="9">
        <f t="shared" si="7"/>
        <v>7.7688000000000008E-4</v>
      </c>
      <c r="M8" s="11" t="s">
        <v>85</v>
      </c>
      <c r="N8" s="9">
        <f t="shared" ref="N8:N16" si="8">IF(M8="5",I8,0)</f>
        <v>0</v>
      </c>
      <c r="Y8" s="9">
        <f t="shared" ref="Y8:Y16" si="9">IF(AC8=0,J8,0)</f>
        <v>0</v>
      </c>
      <c r="Z8" s="9">
        <f t="shared" ref="Z8:Z16" si="10">IF(AC8=15,J8,0)</f>
        <v>0</v>
      </c>
      <c r="AA8" s="9">
        <f t="shared" ref="AA8:AA16" si="11">IF(AC8=21,J8,0)</f>
        <v>0</v>
      </c>
      <c r="AC8" s="14">
        <v>21</v>
      </c>
      <c r="AD8" s="14">
        <f>G8*0.0679679330777274</f>
        <v>0</v>
      </c>
      <c r="AE8" s="14">
        <f>G8*(1-0.0679679330777274)</f>
        <v>0</v>
      </c>
      <c r="AL8" s="14">
        <f t="shared" ref="AL8:AL16" si="12">F8*AD8</f>
        <v>0</v>
      </c>
      <c r="AM8" s="14">
        <f t="shared" ref="AM8:AM16" si="13">F8*AE8</f>
        <v>0</v>
      </c>
      <c r="AN8" s="15" t="s">
        <v>92</v>
      </c>
      <c r="AO8" s="15" t="s">
        <v>76</v>
      </c>
      <c r="AP8" s="25" t="s">
        <v>77</v>
      </c>
      <c r="AU8" s="30"/>
    </row>
    <row r="9" spans="1:47" x14ac:dyDescent="0.2">
      <c r="A9" s="215" t="s">
        <v>82</v>
      </c>
      <c r="B9" s="4"/>
      <c r="C9" s="4" t="s">
        <v>99</v>
      </c>
      <c r="D9" s="49" t="s">
        <v>391</v>
      </c>
      <c r="E9" s="4" t="s">
        <v>88</v>
      </c>
      <c r="F9" s="10">
        <f>F8</f>
        <v>25.896000000000001</v>
      </c>
      <c r="G9" s="10"/>
      <c r="H9" s="10"/>
      <c r="I9" s="10"/>
      <c r="J9" s="258"/>
      <c r="K9" s="10">
        <v>0.6</v>
      </c>
      <c r="L9" s="10">
        <f t="shared" si="7"/>
        <v>15.537599999999999</v>
      </c>
      <c r="M9" s="12" t="s">
        <v>101</v>
      </c>
      <c r="N9" s="10">
        <f t="shared" si="8"/>
        <v>0</v>
      </c>
      <c r="Y9" s="10">
        <f t="shared" si="9"/>
        <v>0</v>
      </c>
      <c r="Z9" s="10">
        <f t="shared" si="10"/>
        <v>0</v>
      </c>
      <c r="AA9" s="10">
        <f t="shared" si="11"/>
        <v>0</v>
      </c>
      <c r="AC9" s="14">
        <v>21</v>
      </c>
      <c r="AD9" s="14">
        <f>G9*1</f>
        <v>0</v>
      </c>
      <c r="AE9" s="14">
        <f>G9*(1-1)</f>
        <v>0</v>
      </c>
      <c r="AL9" s="14">
        <f t="shared" si="12"/>
        <v>0</v>
      </c>
      <c r="AM9" s="14">
        <f t="shared" si="13"/>
        <v>0</v>
      </c>
      <c r="AN9" s="15" t="s">
        <v>92</v>
      </c>
      <c r="AO9" s="15" t="s">
        <v>76</v>
      </c>
      <c r="AP9" s="25" t="s">
        <v>77</v>
      </c>
    </row>
    <row r="10" spans="1:47" x14ac:dyDescent="0.2">
      <c r="A10" s="215" t="s">
        <v>87</v>
      </c>
      <c r="B10" s="3"/>
      <c r="C10" s="3" t="s">
        <v>105</v>
      </c>
      <c r="D10" s="49" t="s">
        <v>396</v>
      </c>
      <c r="E10" s="3" t="s">
        <v>74</v>
      </c>
      <c r="F10" s="9">
        <v>1930</v>
      </c>
      <c r="G10" s="9"/>
      <c r="H10" s="9"/>
      <c r="I10" s="9"/>
      <c r="J10" s="256"/>
      <c r="K10" s="9">
        <v>0</v>
      </c>
      <c r="L10" s="9">
        <f t="shared" si="7"/>
        <v>0</v>
      </c>
      <c r="M10" s="11" t="s">
        <v>73</v>
      </c>
      <c r="N10" s="9">
        <f t="shared" si="8"/>
        <v>0</v>
      </c>
      <c r="Y10" s="9">
        <f t="shared" si="9"/>
        <v>0</v>
      </c>
      <c r="Z10" s="9">
        <f t="shared" si="10"/>
        <v>0</v>
      </c>
      <c r="AA10" s="9">
        <f t="shared" si="11"/>
        <v>0</v>
      </c>
      <c r="AC10" s="14">
        <v>21</v>
      </c>
      <c r="AD10" s="14">
        <f t="shared" ref="AD10:AD15" si="14">G10*0</f>
        <v>0</v>
      </c>
      <c r="AE10" s="14">
        <f t="shared" ref="AE10:AE15" si="15">G10*(1-0)</f>
        <v>0</v>
      </c>
      <c r="AL10" s="14">
        <f t="shared" si="12"/>
        <v>0</v>
      </c>
      <c r="AM10" s="14">
        <f t="shared" si="13"/>
        <v>0</v>
      </c>
      <c r="AN10" s="15" t="s">
        <v>92</v>
      </c>
      <c r="AO10" s="15" t="s">
        <v>76</v>
      </c>
      <c r="AP10" s="25" t="s">
        <v>77</v>
      </c>
    </row>
    <row r="11" spans="1:47" x14ac:dyDescent="0.2">
      <c r="A11" s="215" t="s">
        <v>89</v>
      </c>
      <c r="B11" s="3"/>
      <c r="C11" s="3" t="s">
        <v>106</v>
      </c>
      <c r="D11" s="49" t="s">
        <v>274</v>
      </c>
      <c r="E11" s="3" t="s">
        <v>74</v>
      </c>
      <c r="F11" s="9">
        <v>1930</v>
      </c>
      <c r="G11" s="9"/>
      <c r="H11" s="9"/>
      <c r="I11" s="9"/>
      <c r="J11" s="256"/>
      <c r="K11" s="9">
        <v>0</v>
      </c>
      <c r="L11" s="9">
        <f t="shared" si="7"/>
        <v>0</v>
      </c>
      <c r="M11" s="11" t="s">
        <v>73</v>
      </c>
      <c r="N11" s="9">
        <f t="shared" si="8"/>
        <v>0</v>
      </c>
      <c r="Y11" s="9">
        <f t="shared" si="9"/>
        <v>0</v>
      </c>
      <c r="Z11" s="9">
        <f t="shared" si="10"/>
        <v>0</v>
      </c>
      <c r="AA11" s="9">
        <f t="shared" si="11"/>
        <v>0</v>
      </c>
      <c r="AC11" s="14">
        <v>21</v>
      </c>
      <c r="AD11" s="14">
        <f t="shared" si="14"/>
        <v>0</v>
      </c>
      <c r="AE11" s="14">
        <f t="shared" si="15"/>
        <v>0</v>
      </c>
      <c r="AL11" s="14">
        <f t="shared" si="12"/>
        <v>0</v>
      </c>
      <c r="AM11" s="14">
        <f t="shared" si="13"/>
        <v>0</v>
      </c>
      <c r="AN11" s="15" t="s">
        <v>92</v>
      </c>
      <c r="AO11" s="15" t="s">
        <v>76</v>
      </c>
      <c r="AP11" s="25" t="s">
        <v>77</v>
      </c>
    </row>
    <row r="12" spans="1:47" x14ac:dyDescent="0.2">
      <c r="A12" s="215" t="s">
        <v>93</v>
      </c>
      <c r="B12" s="3"/>
      <c r="C12" s="3" t="s">
        <v>108</v>
      </c>
      <c r="D12" s="49" t="s">
        <v>109</v>
      </c>
      <c r="E12" s="3" t="s">
        <v>74</v>
      </c>
      <c r="F12" s="9">
        <f>F13-F11</f>
        <v>228</v>
      </c>
      <c r="G12" s="9"/>
      <c r="H12" s="9"/>
      <c r="I12" s="9"/>
      <c r="J12" s="256"/>
      <c r="K12" s="9">
        <v>0</v>
      </c>
      <c r="L12" s="9">
        <f t="shared" si="7"/>
        <v>0</v>
      </c>
      <c r="M12" s="11" t="s">
        <v>73</v>
      </c>
      <c r="N12" s="9">
        <f t="shared" si="8"/>
        <v>0</v>
      </c>
      <c r="Y12" s="9">
        <f t="shared" si="9"/>
        <v>0</v>
      </c>
      <c r="Z12" s="9">
        <f t="shared" si="10"/>
        <v>0</v>
      </c>
      <c r="AA12" s="9">
        <f t="shared" si="11"/>
        <v>0</v>
      </c>
      <c r="AC12" s="14">
        <v>21</v>
      </c>
      <c r="AD12" s="14">
        <f t="shared" si="14"/>
        <v>0</v>
      </c>
      <c r="AE12" s="14">
        <f t="shared" si="15"/>
        <v>0</v>
      </c>
      <c r="AL12" s="14">
        <f t="shared" si="12"/>
        <v>0</v>
      </c>
      <c r="AM12" s="14">
        <f t="shared" si="13"/>
        <v>0</v>
      </c>
      <c r="AN12" s="15" t="s">
        <v>92</v>
      </c>
      <c r="AO12" s="15" t="s">
        <v>76</v>
      </c>
      <c r="AP12" s="25" t="s">
        <v>77</v>
      </c>
    </row>
    <row r="13" spans="1:47" x14ac:dyDescent="0.2">
      <c r="A13" s="215" t="s">
        <v>96</v>
      </c>
      <c r="B13" s="3"/>
      <c r="C13" s="3" t="s">
        <v>108</v>
      </c>
      <c r="D13" s="49" t="s">
        <v>109</v>
      </c>
      <c r="E13" s="3" t="s">
        <v>74</v>
      </c>
      <c r="F13" s="9">
        <v>2158</v>
      </c>
      <c r="G13" s="9"/>
      <c r="H13" s="9"/>
      <c r="I13" s="9"/>
      <c r="J13" s="256"/>
      <c r="K13" s="9">
        <v>0</v>
      </c>
      <c r="L13" s="9">
        <f t="shared" si="7"/>
        <v>0</v>
      </c>
      <c r="M13" s="11" t="s">
        <v>73</v>
      </c>
      <c r="N13" s="9">
        <f t="shared" si="8"/>
        <v>0</v>
      </c>
      <c r="Y13" s="9">
        <f t="shared" si="9"/>
        <v>0</v>
      </c>
      <c r="Z13" s="9">
        <f t="shared" si="10"/>
        <v>0</v>
      </c>
      <c r="AA13" s="9">
        <f t="shared" si="11"/>
        <v>0</v>
      </c>
      <c r="AC13" s="14">
        <v>21</v>
      </c>
      <c r="AD13" s="14">
        <f t="shared" si="14"/>
        <v>0</v>
      </c>
      <c r="AE13" s="14">
        <f t="shared" si="15"/>
        <v>0</v>
      </c>
      <c r="AL13" s="14">
        <f t="shared" si="12"/>
        <v>0</v>
      </c>
      <c r="AM13" s="14">
        <f t="shared" si="13"/>
        <v>0</v>
      </c>
      <c r="AN13" s="15" t="s">
        <v>92</v>
      </c>
      <c r="AO13" s="15" t="s">
        <v>76</v>
      </c>
      <c r="AP13" s="25" t="s">
        <v>77</v>
      </c>
    </row>
    <row r="14" spans="1:47" x14ac:dyDescent="0.2">
      <c r="A14" s="215" t="s">
        <v>98</v>
      </c>
      <c r="B14" s="3"/>
      <c r="C14" s="3" t="s">
        <v>112</v>
      </c>
      <c r="D14" s="49" t="s">
        <v>113</v>
      </c>
      <c r="E14" s="3" t="s">
        <v>74</v>
      </c>
      <c r="F14" s="9">
        <f>F12</f>
        <v>228</v>
      </c>
      <c r="G14" s="9"/>
      <c r="H14" s="9"/>
      <c r="I14" s="9"/>
      <c r="J14" s="256"/>
      <c r="K14" s="9">
        <v>0</v>
      </c>
      <c r="L14" s="9">
        <f t="shared" si="7"/>
        <v>0</v>
      </c>
      <c r="M14" s="11" t="s">
        <v>73</v>
      </c>
      <c r="N14" s="9">
        <f t="shared" si="8"/>
        <v>0</v>
      </c>
      <c r="Y14" s="9">
        <f t="shared" si="9"/>
        <v>0</v>
      </c>
      <c r="Z14" s="9">
        <f t="shared" si="10"/>
        <v>0</v>
      </c>
      <c r="AA14" s="9">
        <f t="shared" si="11"/>
        <v>0</v>
      </c>
      <c r="AC14" s="14">
        <v>21</v>
      </c>
      <c r="AD14" s="14">
        <f t="shared" si="14"/>
        <v>0</v>
      </c>
      <c r="AE14" s="14">
        <f t="shared" si="15"/>
        <v>0</v>
      </c>
      <c r="AL14" s="14">
        <f t="shared" si="12"/>
        <v>0</v>
      </c>
      <c r="AM14" s="14">
        <f t="shared" si="13"/>
        <v>0</v>
      </c>
      <c r="AN14" s="15" t="s">
        <v>92</v>
      </c>
      <c r="AO14" s="15" t="s">
        <v>76</v>
      </c>
      <c r="AP14" s="25" t="s">
        <v>77</v>
      </c>
    </row>
    <row r="15" spans="1:47" x14ac:dyDescent="0.2">
      <c r="A15" s="215" t="s">
        <v>102</v>
      </c>
      <c r="B15" s="3"/>
      <c r="C15" s="3" t="s">
        <v>236</v>
      </c>
      <c r="D15" s="49" t="s">
        <v>237</v>
      </c>
      <c r="E15" s="3" t="s">
        <v>74</v>
      </c>
      <c r="F15" s="9">
        <v>1431</v>
      </c>
      <c r="G15" s="9"/>
      <c r="H15" s="9"/>
      <c r="I15" s="9"/>
      <c r="J15" s="256"/>
      <c r="K15" s="9">
        <v>0</v>
      </c>
      <c r="L15" s="9">
        <f t="shared" si="7"/>
        <v>0</v>
      </c>
      <c r="M15" s="11" t="s">
        <v>73</v>
      </c>
      <c r="N15" s="9">
        <f t="shared" si="8"/>
        <v>0</v>
      </c>
      <c r="Y15" s="9">
        <f t="shared" si="9"/>
        <v>0</v>
      </c>
      <c r="Z15" s="9">
        <f t="shared" si="10"/>
        <v>0</v>
      </c>
      <c r="AA15" s="9">
        <f t="shared" si="11"/>
        <v>0</v>
      </c>
      <c r="AC15" s="14">
        <v>21</v>
      </c>
      <c r="AD15" s="14">
        <f t="shared" si="14"/>
        <v>0</v>
      </c>
      <c r="AE15" s="14">
        <f t="shared" si="15"/>
        <v>0</v>
      </c>
      <c r="AL15" s="14">
        <f t="shared" si="12"/>
        <v>0</v>
      </c>
      <c r="AM15" s="14">
        <f t="shared" si="13"/>
        <v>0</v>
      </c>
      <c r="AN15" s="15" t="s">
        <v>92</v>
      </c>
      <c r="AO15" s="15" t="s">
        <v>76</v>
      </c>
      <c r="AP15" s="25" t="s">
        <v>77</v>
      </c>
    </row>
    <row r="16" spans="1:47" x14ac:dyDescent="0.2">
      <c r="A16" s="215" t="s">
        <v>24</v>
      </c>
      <c r="B16" s="3"/>
      <c r="C16" s="3" t="s">
        <v>90</v>
      </c>
      <c r="D16" s="49" t="s">
        <v>398</v>
      </c>
      <c r="E16" s="3" t="s">
        <v>74</v>
      </c>
      <c r="F16" s="9">
        <f>F6</f>
        <v>2158</v>
      </c>
      <c r="G16" s="9"/>
      <c r="H16" s="9"/>
      <c r="I16" s="9"/>
      <c r="J16" s="256"/>
      <c r="K16" s="9">
        <v>0</v>
      </c>
      <c r="L16" s="9">
        <f t="shared" si="7"/>
        <v>0</v>
      </c>
      <c r="M16" s="11" t="s">
        <v>73</v>
      </c>
      <c r="N16" s="9">
        <f t="shared" si="8"/>
        <v>0</v>
      </c>
      <c r="Y16" s="9">
        <f t="shared" si="9"/>
        <v>0</v>
      </c>
      <c r="Z16" s="9">
        <f t="shared" si="10"/>
        <v>0</v>
      </c>
      <c r="AA16" s="9">
        <f t="shared" si="11"/>
        <v>0</v>
      </c>
      <c r="AC16" s="14">
        <v>21</v>
      </c>
      <c r="AD16" s="14">
        <f>G16*0.0152671755725191</f>
        <v>0</v>
      </c>
      <c r="AE16" s="14">
        <f>G16*(1-0.0152671755725191)</f>
        <v>0</v>
      </c>
      <c r="AL16" s="14">
        <f t="shared" si="12"/>
        <v>0</v>
      </c>
      <c r="AM16" s="14">
        <f t="shared" si="13"/>
        <v>0</v>
      </c>
      <c r="AN16" s="15" t="s">
        <v>92</v>
      </c>
      <c r="AO16" s="15" t="s">
        <v>76</v>
      </c>
      <c r="AP16" s="25" t="s">
        <v>77</v>
      </c>
    </row>
    <row r="17" spans="1:42" x14ac:dyDescent="0.2">
      <c r="A17" s="215" t="s">
        <v>26</v>
      </c>
      <c r="B17" s="3"/>
      <c r="C17" s="3"/>
      <c r="D17" s="49" t="s">
        <v>392</v>
      </c>
      <c r="E17" s="3" t="s">
        <v>95</v>
      </c>
      <c r="F17" s="9">
        <f>F16*0.001</f>
        <v>2.1579999999999999</v>
      </c>
      <c r="G17" s="9"/>
      <c r="H17" s="9"/>
      <c r="I17" s="9"/>
      <c r="J17" s="256"/>
      <c r="K17" s="9">
        <v>0</v>
      </c>
      <c r="L17" s="9">
        <f t="shared" si="7"/>
        <v>0</v>
      </c>
      <c r="M17" s="11"/>
      <c r="N17" s="9"/>
      <c r="Y17" s="9"/>
      <c r="Z17" s="9"/>
      <c r="AA17" s="9"/>
      <c r="AC17" s="14"/>
      <c r="AD17" s="14"/>
      <c r="AE17" s="14"/>
      <c r="AL17" s="14"/>
      <c r="AM17" s="14"/>
      <c r="AN17" s="15"/>
      <c r="AO17" s="15"/>
      <c r="AP17" s="25"/>
    </row>
    <row r="18" spans="1:42" x14ac:dyDescent="0.2">
      <c r="A18" s="215" t="s">
        <v>107</v>
      </c>
      <c r="B18" s="3"/>
      <c r="C18" s="3" t="s">
        <v>116</v>
      </c>
      <c r="D18" s="49" t="s">
        <v>117</v>
      </c>
      <c r="E18" s="3" t="s">
        <v>74</v>
      </c>
      <c r="F18" s="9">
        <v>1431</v>
      </c>
      <c r="G18" s="9"/>
      <c r="H18" s="9"/>
      <c r="I18" s="9"/>
      <c r="J18" s="256"/>
      <c r="K18" s="9">
        <v>3.0000000000000001E-5</v>
      </c>
      <c r="L18" s="9">
        <f t="shared" si="7"/>
        <v>4.2930000000000003E-2</v>
      </c>
      <c r="M18" s="11" t="s">
        <v>85</v>
      </c>
      <c r="N18" s="9">
        <f>IF(M18="5",I18,0)</f>
        <v>0</v>
      </c>
      <c r="Y18" s="9">
        <f>IF(AC18=0,J18,0)</f>
        <v>0</v>
      </c>
      <c r="Z18" s="9">
        <f>IF(AC18=15,J18,0)</f>
        <v>0</v>
      </c>
      <c r="AA18" s="9">
        <f>IF(AC18=21,J18,0)</f>
        <v>0</v>
      </c>
      <c r="AC18" s="14">
        <v>21</v>
      </c>
      <c r="AD18" s="14">
        <f>G18*0.263768115942029</f>
        <v>0</v>
      </c>
      <c r="AE18" s="14">
        <f>G18*(1-0.263768115942029)</f>
        <v>0</v>
      </c>
      <c r="AL18" s="14">
        <f>F18*AD18</f>
        <v>0</v>
      </c>
      <c r="AM18" s="14">
        <f>F18*AE18</f>
        <v>0</v>
      </c>
      <c r="AN18" s="15" t="s">
        <v>92</v>
      </c>
      <c r="AO18" s="15" t="s">
        <v>76</v>
      </c>
      <c r="AP18" s="25" t="s">
        <v>77</v>
      </c>
    </row>
    <row r="19" spans="1:42" ht="25.5" customHeight="1" x14ac:dyDescent="0.2">
      <c r="A19" s="215" t="s">
        <v>110</v>
      </c>
      <c r="B19" s="101"/>
      <c r="C19" s="8"/>
      <c r="D19" s="298" t="s">
        <v>118</v>
      </c>
      <c r="E19" s="298"/>
      <c r="F19" s="298"/>
      <c r="G19" s="298"/>
      <c r="H19" s="298"/>
      <c r="I19" s="298"/>
      <c r="J19" s="279"/>
      <c r="K19" s="97"/>
      <c r="L19" s="97"/>
    </row>
    <row r="20" spans="1:42" x14ac:dyDescent="0.2">
      <c r="A20" s="215" t="s">
        <v>111</v>
      </c>
      <c r="B20" s="3"/>
      <c r="C20" s="3" t="s">
        <v>120</v>
      </c>
      <c r="D20" s="49" t="s">
        <v>397</v>
      </c>
      <c r="E20" s="3" t="s">
        <v>81</v>
      </c>
      <c r="F20" s="9">
        <v>24</v>
      </c>
      <c r="G20" s="9"/>
      <c r="H20" s="9"/>
      <c r="I20" s="9"/>
      <c r="J20" s="256"/>
      <c r="K20" s="9">
        <v>0</v>
      </c>
      <c r="L20" s="9">
        <f t="shared" ref="L20:L26" si="16">F20*K20</f>
        <v>0</v>
      </c>
      <c r="M20" s="11" t="s">
        <v>73</v>
      </c>
      <c r="N20" s="9">
        <f t="shared" ref="N20:N26" si="17">IF(M20="5",I20,0)</f>
        <v>0</v>
      </c>
      <c r="Y20" s="9">
        <f t="shared" ref="Y20:Y26" si="18">IF(AC20=0,J20,0)</f>
        <v>0</v>
      </c>
      <c r="Z20" s="9">
        <f t="shared" ref="Z20:Z26" si="19">IF(AC20=15,J20,0)</f>
        <v>0</v>
      </c>
      <c r="AA20" s="9">
        <f t="shared" ref="AA20:AA26" si="20">IF(AC20=21,J20,0)</f>
        <v>0</v>
      </c>
      <c r="AC20" s="14">
        <v>21</v>
      </c>
      <c r="AD20" s="14">
        <f>G20*0</f>
        <v>0</v>
      </c>
      <c r="AE20" s="14">
        <f>G20*(1-0)</f>
        <v>0</v>
      </c>
      <c r="AL20" s="14">
        <f t="shared" ref="AL20:AL26" si="21">F20*AD20</f>
        <v>0</v>
      </c>
      <c r="AM20" s="14">
        <f t="shared" ref="AM20:AM26" si="22">F20*AE20</f>
        <v>0</v>
      </c>
      <c r="AN20" s="15" t="s">
        <v>92</v>
      </c>
      <c r="AO20" s="15" t="s">
        <v>76</v>
      </c>
      <c r="AP20" s="25" t="s">
        <v>77</v>
      </c>
    </row>
    <row r="21" spans="1:42" x14ac:dyDescent="0.2">
      <c r="A21" s="215" t="s">
        <v>114</v>
      </c>
      <c r="B21" s="4"/>
      <c r="C21" s="4" t="s">
        <v>122</v>
      </c>
      <c r="D21" s="49" t="s">
        <v>123</v>
      </c>
      <c r="E21" s="4" t="s">
        <v>84</v>
      </c>
      <c r="F21" s="10">
        <v>8</v>
      </c>
      <c r="G21" s="10"/>
      <c r="H21" s="10"/>
      <c r="I21" s="10"/>
      <c r="J21" s="258"/>
      <c r="K21" s="10">
        <v>0.6</v>
      </c>
      <c r="L21" s="10">
        <f t="shared" si="16"/>
        <v>4.8</v>
      </c>
      <c r="M21" s="12" t="s">
        <v>101</v>
      </c>
      <c r="N21" s="10">
        <f t="shared" si="17"/>
        <v>0</v>
      </c>
      <c r="Y21" s="10">
        <f t="shared" si="18"/>
        <v>0</v>
      </c>
      <c r="Z21" s="10">
        <f t="shared" si="19"/>
        <v>0</v>
      </c>
      <c r="AA21" s="10">
        <f t="shared" si="20"/>
        <v>0</v>
      </c>
      <c r="AC21" s="14">
        <v>21</v>
      </c>
      <c r="AD21" s="14">
        <f>G21*1</f>
        <v>0</v>
      </c>
      <c r="AE21" s="14">
        <f>G21*(1-1)</f>
        <v>0</v>
      </c>
      <c r="AL21" s="14">
        <f t="shared" si="21"/>
        <v>0</v>
      </c>
      <c r="AM21" s="14">
        <f t="shared" si="22"/>
        <v>0</v>
      </c>
      <c r="AN21" s="15" t="s">
        <v>92</v>
      </c>
      <c r="AO21" s="15" t="s">
        <v>76</v>
      </c>
      <c r="AP21" s="25" t="s">
        <v>77</v>
      </c>
    </row>
    <row r="22" spans="1:42" x14ac:dyDescent="0.2">
      <c r="A22" s="215" t="s">
        <v>115</v>
      </c>
      <c r="B22" s="3"/>
      <c r="C22" s="3" t="s">
        <v>125</v>
      </c>
      <c r="D22" s="49" t="s">
        <v>126</v>
      </c>
      <c r="E22" s="3" t="s">
        <v>81</v>
      </c>
      <c r="F22" s="9">
        <v>24</v>
      </c>
      <c r="G22" s="9"/>
      <c r="H22" s="9"/>
      <c r="I22" s="9"/>
      <c r="J22" s="256"/>
      <c r="K22" s="9">
        <v>0</v>
      </c>
      <c r="L22" s="9">
        <f t="shared" si="16"/>
        <v>0</v>
      </c>
      <c r="M22" s="11" t="s">
        <v>73</v>
      </c>
      <c r="N22" s="9">
        <f t="shared" si="17"/>
        <v>0</v>
      </c>
      <c r="Y22" s="9">
        <f t="shared" si="18"/>
        <v>0</v>
      </c>
      <c r="Z22" s="9">
        <f t="shared" si="19"/>
        <v>0</v>
      </c>
      <c r="AA22" s="9">
        <f t="shared" si="20"/>
        <v>0</v>
      </c>
      <c r="AC22" s="14">
        <v>21</v>
      </c>
      <c r="AD22" s="14">
        <f>G22*0.00495279593318809</f>
        <v>0</v>
      </c>
      <c r="AE22" s="14">
        <f>G22*(1-0.00495279593318809)</f>
        <v>0</v>
      </c>
      <c r="AL22" s="14">
        <f t="shared" si="21"/>
        <v>0</v>
      </c>
      <c r="AM22" s="14">
        <f t="shared" si="22"/>
        <v>0</v>
      </c>
      <c r="AN22" s="15" t="s">
        <v>92</v>
      </c>
      <c r="AO22" s="15" t="s">
        <v>76</v>
      </c>
      <c r="AP22" s="25" t="s">
        <v>77</v>
      </c>
    </row>
    <row r="23" spans="1:42" x14ac:dyDescent="0.2">
      <c r="A23" s="215" t="s">
        <v>28</v>
      </c>
      <c r="B23" s="4"/>
      <c r="C23" s="4" t="s">
        <v>128</v>
      </c>
      <c r="D23" s="49" t="s">
        <v>129</v>
      </c>
      <c r="E23" s="4" t="s">
        <v>130</v>
      </c>
      <c r="F23" s="10">
        <v>12</v>
      </c>
      <c r="G23" s="10"/>
      <c r="H23" s="10"/>
      <c r="I23" s="10"/>
      <c r="J23" s="258"/>
      <c r="K23" s="10">
        <v>8.0000000000000002E-3</v>
      </c>
      <c r="L23" s="10">
        <f t="shared" si="16"/>
        <v>9.6000000000000002E-2</v>
      </c>
      <c r="M23" s="12" t="s">
        <v>101</v>
      </c>
      <c r="N23" s="10">
        <f t="shared" si="17"/>
        <v>0</v>
      </c>
      <c r="Y23" s="10">
        <f t="shared" si="18"/>
        <v>0</v>
      </c>
      <c r="Z23" s="10">
        <f t="shared" si="19"/>
        <v>0</v>
      </c>
      <c r="AA23" s="10">
        <f t="shared" si="20"/>
        <v>0</v>
      </c>
      <c r="AC23" s="14">
        <v>21</v>
      </c>
      <c r="AD23" s="14">
        <f>G23*1</f>
        <v>0</v>
      </c>
      <c r="AE23" s="14">
        <f>G23*(1-1)</f>
        <v>0</v>
      </c>
      <c r="AL23" s="14">
        <f t="shared" si="21"/>
        <v>0</v>
      </c>
      <c r="AM23" s="14">
        <f t="shared" si="22"/>
        <v>0</v>
      </c>
      <c r="AN23" s="15" t="s">
        <v>92</v>
      </c>
      <c r="AO23" s="15" t="s">
        <v>76</v>
      </c>
      <c r="AP23" s="25" t="s">
        <v>77</v>
      </c>
    </row>
    <row r="24" spans="1:42" x14ac:dyDescent="0.2">
      <c r="A24" s="215" t="s">
        <v>119</v>
      </c>
      <c r="B24" s="4"/>
      <c r="C24" s="4" t="s">
        <v>132</v>
      </c>
      <c r="D24" s="49" t="s">
        <v>133</v>
      </c>
      <c r="E24" s="4" t="s">
        <v>130</v>
      </c>
      <c r="F24" s="10">
        <v>12</v>
      </c>
      <c r="G24" s="10"/>
      <c r="H24" s="10"/>
      <c r="I24" s="10"/>
      <c r="J24" s="258"/>
      <c r="K24" s="10">
        <v>8.0000000000000002E-3</v>
      </c>
      <c r="L24" s="10">
        <f t="shared" si="16"/>
        <v>9.6000000000000002E-2</v>
      </c>
      <c r="M24" s="12" t="s">
        <v>101</v>
      </c>
      <c r="N24" s="10">
        <f t="shared" si="17"/>
        <v>0</v>
      </c>
      <c r="Y24" s="10">
        <f t="shared" si="18"/>
        <v>0</v>
      </c>
      <c r="Z24" s="10">
        <f t="shared" si="19"/>
        <v>0</v>
      </c>
      <c r="AA24" s="10">
        <f t="shared" si="20"/>
        <v>0</v>
      </c>
      <c r="AC24" s="14">
        <v>21</v>
      </c>
      <c r="AD24" s="14">
        <f>G24*1</f>
        <v>0</v>
      </c>
      <c r="AE24" s="14">
        <f>G24*(1-1)</f>
        <v>0</v>
      </c>
      <c r="AL24" s="14">
        <f t="shared" si="21"/>
        <v>0</v>
      </c>
      <c r="AM24" s="14">
        <f t="shared" si="22"/>
        <v>0</v>
      </c>
      <c r="AN24" s="15" t="s">
        <v>92</v>
      </c>
      <c r="AO24" s="15" t="s">
        <v>76</v>
      </c>
      <c r="AP24" s="25" t="s">
        <v>77</v>
      </c>
    </row>
    <row r="25" spans="1:42" x14ac:dyDescent="0.2">
      <c r="A25" s="215" t="s">
        <v>121</v>
      </c>
      <c r="B25" s="3"/>
      <c r="C25" s="3" t="s">
        <v>135</v>
      </c>
      <c r="D25" s="49" t="s">
        <v>136</v>
      </c>
      <c r="E25" s="3" t="s">
        <v>81</v>
      </c>
      <c r="F25" s="9">
        <v>24</v>
      </c>
      <c r="G25" s="9"/>
      <c r="H25" s="9"/>
      <c r="I25" s="9"/>
      <c r="J25" s="256"/>
      <c r="K25" s="9">
        <v>5.5999999999999995E-4</v>
      </c>
      <c r="L25" s="9">
        <f t="shared" si="16"/>
        <v>1.3439999999999999E-2</v>
      </c>
      <c r="M25" s="11" t="s">
        <v>73</v>
      </c>
      <c r="N25" s="9">
        <f t="shared" si="17"/>
        <v>0</v>
      </c>
      <c r="Y25" s="9">
        <f t="shared" si="18"/>
        <v>0</v>
      </c>
      <c r="Z25" s="9">
        <f t="shared" si="19"/>
        <v>0</v>
      </c>
      <c r="AA25" s="9">
        <f t="shared" si="20"/>
        <v>0</v>
      </c>
      <c r="AC25" s="14">
        <v>21</v>
      </c>
      <c r="AD25" s="14">
        <f>G25*0.143789157562264</f>
        <v>0</v>
      </c>
      <c r="AE25" s="14">
        <f>G25*(1-0.143789157562264)</f>
        <v>0</v>
      </c>
      <c r="AL25" s="14">
        <f t="shared" si="21"/>
        <v>0</v>
      </c>
      <c r="AM25" s="14">
        <f t="shared" si="22"/>
        <v>0</v>
      </c>
      <c r="AN25" s="15" t="s">
        <v>92</v>
      </c>
      <c r="AO25" s="15" t="s">
        <v>76</v>
      </c>
      <c r="AP25" s="25" t="s">
        <v>77</v>
      </c>
    </row>
    <row r="26" spans="1:42" x14ac:dyDescent="0.2">
      <c r="A26" s="215" t="s">
        <v>124</v>
      </c>
      <c r="B26" s="4"/>
      <c r="C26" s="4" t="s">
        <v>138</v>
      </c>
      <c r="D26" s="49" t="s">
        <v>139</v>
      </c>
      <c r="E26" s="4" t="s">
        <v>140</v>
      </c>
      <c r="F26" s="10">
        <v>36</v>
      </c>
      <c r="G26" s="10"/>
      <c r="H26" s="10"/>
      <c r="I26" s="10"/>
      <c r="J26" s="258"/>
      <c r="K26" s="10">
        <v>2.0000000000000002E-5</v>
      </c>
      <c r="L26" s="10">
        <f t="shared" si="16"/>
        <v>7.2000000000000005E-4</v>
      </c>
      <c r="M26" s="12" t="s">
        <v>101</v>
      </c>
      <c r="N26" s="10">
        <f t="shared" si="17"/>
        <v>0</v>
      </c>
      <c r="Y26" s="10">
        <f t="shared" si="18"/>
        <v>0</v>
      </c>
      <c r="Z26" s="10">
        <f t="shared" si="19"/>
        <v>0</v>
      </c>
      <c r="AA26" s="10">
        <f t="shared" si="20"/>
        <v>0</v>
      </c>
      <c r="AC26" s="14">
        <v>21</v>
      </c>
      <c r="AD26" s="14">
        <f>G26*1</f>
        <v>0</v>
      </c>
      <c r="AE26" s="14">
        <f>G26*(1-1)</f>
        <v>0</v>
      </c>
      <c r="AL26" s="14">
        <f t="shared" si="21"/>
        <v>0</v>
      </c>
      <c r="AM26" s="14">
        <f t="shared" si="22"/>
        <v>0</v>
      </c>
      <c r="AN26" s="15" t="s">
        <v>92</v>
      </c>
      <c r="AO26" s="15" t="s">
        <v>76</v>
      </c>
      <c r="AP26" s="25" t="s">
        <v>77</v>
      </c>
    </row>
    <row r="27" spans="1:42" x14ac:dyDescent="0.2">
      <c r="A27" s="215" t="s">
        <v>127</v>
      </c>
      <c r="B27" s="4"/>
      <c r="C27" s="4" t="s">
        <v>142</v>
      </c>
      <c r="D27" s="49" t="s">
        <v>143</v>
      </c>
      <c r="E27" s="4" t="s">
        <v>81</v>
      </c>
      <c r="F27" s="10">
        <v>72</v>
      </c>
      <c r="G27" s="10"/>
      <c r="H27" s="10"/>
      <c r="I27" s="10"/>
      <c r="J27" s="258"/>
      <c r="K27" s="10">
        <v>2E-3</v>
      </c>
      <c r="L27" s="10">
        <f t="shared" ref="L27:L32" si="23">F27*K27</f>
        <v>0.14400000000000002</v>
      </c>
      <c r="M27" s="12" t="s">
        <v>101</v>
      </c>
      <c r="N27" s="10">
        <f t="shared" ref="N27:N32" si="24">IF(M27="5",I27,0)</f>
        <v>0</v>
      </c>
      <c r="Y27" s="10">
        <f t="shared" ref="Y27:Y32" si="25">IF(AC27=0,J27,0)</f>
        <v>0</v>
      </c>
      <c r="Z27" s="10">
        <f t="shared" ref="Z27:Z32" si="26">IF(AC27=15,J27,0)</f>
        <v>0</v>
      </c>
      <c r="AA27" s="10">
        <f t="shared" ref="AA27:AA32" si="27">IF(AC27=21,J27,0)</f>
        <v>0</v>
      </c>
      <c r="AC27" s="14">
        <v>21</v>
      </c>
      <c r="AD27" s="14">
        <f>G27*1</f>
        <v>0</v>
      </c>
      <c r="AE27" s="14">
        <f>G27*(1-1)</f>
        <v>0</v>
      </c>
      <c r="AL27" s="14">
        <f t="shared" ref="AL27:AL32" si="28">F27*AD27</f>
        <v>0</v>
      </c>
      <c r="AM27" s="14">
        <f t="shared" ref="AM27:AM32" si="29">F27*AE27</f>
        <v>0</v>
      </c>
      <c r="AN27" s="15" t="s">
        <v>92</v>
      </c>
      <c r="AO27" s="15" t="s">
        <v>76</v>
      </c>
      <c r="AP27" s="25" t="s">
        <v>77</v>
      </c>
    </row>
    <row r="28" spans="1:42" x14ac:dyDescent="0.2">
      <c r="A28" s="215" t="s">
        <v>131</v>
      </c>
      <c r="B28" s="4"/>
      <c r="C28" s="4" t="s">
        <v>145</v>
      </c>
      <c r="D28" s="49" t="s">
        <v>146</v>
      </c>
      <c r="E28" s="4" t="s">
        <v>81</v>
      </c>
      <c r="F28" s="10">
        <v>72</v>
      </c>
      <c r="G28" s="10"/>
      <c r="H28" s="10"/>
      <c r="I28" s="10"/>
      <c r="J28" s="258"/>
      <c r="K28" s="10">
        <v>6.0000000000000001E-3</v>
      </c>
      <c r="L28" s="10">
        <f t="shared" si="23"/>
        <v>0.432</v>
      </c>
      <c r="M28" s="12" t="s">
        <v>101</v>
      </c>
      <c r="N28" s="10">
        <f t="shared" si="24"/>
        <v>0</v>
      </c>
      <c r="Y28" s="10">
        <f t="shared" si="25"/>
        <v>0</v>
      </c>
      <c r="Z28" s="10">
        <f t="shared" si="26"/>
        <v>0</v>
      </c>
      <c r="AA28" s="10">
        <f t="shared" si="27"/>
        <v>0</v>
      </c>
      <c r="AC28" s="14">
        <v>21</v>
      </c>
      <c r="AD28" s="14">
        <f>G28*1</f>
        <v>0</v>
      </c>
      <c r="AE28" s="14">
        <f>G28*(1-1)</f>
        <v>0</v>
      </c>
      <c r="AL28" s="14">
        <f t="shared" si="28"/>
        <v>0</v>
      </c>
      <c r="AM28" s="14">
        <f t="shared" si="29"/>
        <v>0</v>
      </c>
      <c r="AN28" s="15" t="s">
        <v>92</v>
      </c>
      <c r="AO28" s="15" t="s">
        <v>76</v>
      </c>
      <c r="AP28" s="25" t="s">
        <v>77</v>
      </c>
    </row>
    <row r="29" spans="1:42" x14ac:dyDescent="0.2">
      <c r="A29" s="215" t="s">
        <v>134</v>
      </c>
      <c r="B29" s="3"/>
      <c r="C29" s="3" t="s">
        <v>148</v>
      </c>
      <c r="D29" s="49" t="s">
        <v>149</v>
      </c>
      <c r="E29" s="3" t="s">
        <v>74</v>
      </c>
      <c r="F29" s="9">
        <v>8.16</v>
      </c>
      <c r="G29" s="9"/>
      <c r="H29" s="9"/>
      <c r="I29" s="9"/>
      <c r="J29" s="256"/>
      <c r="K29" s="9">
        <v>2.4000000000000001E-4</v>
      </c>
      <c r="L29" s="9">
        <f t="shared" si="23"/>
        <v>1.9583999999999999E-3</v>
      </c>
      <c r="M29" s="11" t="s">
        <v>73</v>
      </c>
      <c r="N29" s="9">
        <f t="shared" si="24"/>
        <v>0</v>
      </c>
      <c r="Y29" s="9">
        <f t="shared" si="25"/>
        <v>0</v>
      </c>
      <c r="Z29" s="9">
        <f t="shared" si="26"/>
        <v>0</v>
      </c>
      <c r="AA29" s="9">
        <f t="shared" si="27"/>
        <v>0</v>
      </c>
      <c r="AC29" s="14">
        <v>21</v>
      </c>
      <c r="AD29" s="14">
        <f>G29*0.460337768679631</f>
        <v>0</v>
      </c>
      <c r="AE29" s="14">
        <f>G29*(1-0.460337768679631)</f>
        <v>0</v>
      </c>
      <c r="AL29" s="14">
        <f t="shared" si="28"/>
        <v>0</v>
      </c>
      <c r="AM29" s="14">
        <f t="shared" si="29"/>
        <v>0</v>
      </c>
      <c r="AN29" s="15" t="s">
        <v>92</v>
      </c>
      <c r="AO29" s="15" t="s">
        <v>76</v>
      </c>
      <c r="AP29" s="25" t="s">
        <v>77</v>
      </c>
    </row>
    <row r="30" spans="1:42" x14ac:dyDescent="0.2">
      <c r="A30" s="215" t="s">
        <v>137</v>
      </c>
      <c r="B30" s="4"/>
      <c r="C30" s="4" t="s">
        <v>151</v>
      </c>
      <c r="D30" s="49" t="s">
        <v>152</v>
      </c>
      <c r="E30" s="4" t="s">
        <v>74</v>
      </c>
      <c r="F30" s="10">
        <v>8.16</v>
      </c>
      <c r="G30" s="10"/>
      <c r="H30" s="10"/>
      <c r="I30" s="10"/>
      <c r="J30" s="258"/>
      <c r="K30" s="10">
        <v>1E-4</v>
      </c>
      <c r="L30" s="10">
        <f t="shared" si="23"/>
        <v>8.160000000000001E-4</v>
      </c>
      <c r="M30" s="12" t="s">
        <v>101</v>
      </c>
      <c r="N30" s="10">
        <f t="shared" si="24"/>
        <v>0</v>
      </c>
      <c r="Y30" s="10">
        <f t="shared" si="25"/>
        <v>0</v>
      </c>
      <c r="Z30" s="10">
        <f t="shared" si="26"/>
        <v>0</v>
      </c>
      <c r="AA30" s="10">
        <f t="shared" si="27"/>
        <v>0</v>
      </c>
      <c r="AC30" s="14">
        <v>21</v>
      </c>
      <c r="AD30" s="14">
        <f>G30*1</f>
        <v>0</v>
      </c>
      <c r="AE30" s="14">
        <f>G30*(1-1)</f>
        <v>0</v>
      </c>
      <c r="AL30" s="14">
        <f t="shared" si="28"/>
        <v>0</v>
      </c>
      <c r="AM30" s="14">
        <f t="shared" si="29"/>
        <v>0</v>
      </c>
      <c r="AN30" s="15" t="s">
        <v>92</v>
      </c>
      <c r="AO30" s="15" t="s">
        <v>76</v>
      </c>
      <c r="AP30" s="25" t="s">
        <v>77</v>
      </c>
    </row>
    <row r="31" spans="1:42" ht="24" x14ac:dyDescent="0.2">
      <c r="A31" s="215" t="s">
        <v>141</v>
      </c>
      <c r="B31" s="3"/>
      <c r="C31" s="3" t="s">
        <v>154</v>
      </c>
      <c r="D31" s="49" t="s">
        <v>155</v>
      </c>
      <c r="E31" s="3" t="s">
        <v>74</v>
      </c>
      <c r="F31" s="9">
        <f>F25*0.8</f>
        <v>19.200000000000003</v>
      </c>
      <c r="G31" s="9"/>
      <c r="H31" s="9"/>
      <c r="I31" s="9"/>
      <c r="J31" s="256"/>
      <c r="K31" s="9">
        <v>0</v>
      </c>
      <c r="L31" s="9">
        <f t="shared" si="23"/>
        <v>0</v>
      </c>
      <c r="M31" s="11" t="s">
        <v>73</v>
      </c>
      <c r="N31" s="9">
        <f t="shared" si="24"/>
        <v>0</v>
      </c>
      <c r="Y31" s="9">
        <f t="shared" si="25"/>
        <v>0</v>
      </c>
      <c r="Z31" s="9">
        <f t="shared" si="26"/>
        <v>0</v>
      </c>
      <c r="AA31" s="9">
        <f t="shared" si="27"/>
        <v>0</v>
      </c>
      <c r="AC31" s="14">
        <v>21</v>
      </c>
      <c r="AD31" s="14">
        <f>G31*0</f>
        <v>0</v>
      </c>
      <c r="AE31" s="14">
        <f>G31*(1-0)</f>
        <v>0</v>
      </c>
      <c r="AL31" s="14">
        <f t="shared" si="28"/>
        <v>0</v>
      </c>
      <c r="AM31" s="14">
        <f t="shared" si="29"/>
        <v>0</v>
      </c>
      <c r="AN31" s="15" t="s">
        <v>92</v>
      </c>
      <c r="AO31" s="15" t="s">
        <v>76</v>
      </c>
      <c r="AP31" s="25" t="s">
        <v>77</v>
      </c>
    </row>
    <row r="32" spans="1:42" x14ac:dyDescent="0.2">
      <c r="A32" s="215" t="s">
        <v>144</v>
      </c>
      <c r="B32" s="4"/>
      <c r="C32" s="4" t="s">
        <v>157</v>
      </c>
      <c r="D32" s="49" t="s">
        <v>399</v>
      </c>
      <c r="E32" s="4" t="s">
        <v>84</v>
      </c>
      <c r="F32" s="10">
        <v>20</v>
      </c>
      <c r="G32" s="10"/>
      <c r="H32" s="10"/>
      <c r="I32" s="10"/>
      <c r="J32" s="258"/>
      <c r="K32" s="10">
        <v>0.6</v>
      </c>
      <c r="L32" s="10">
        <f t="shared" si="23"/>
        <v>12</v>
      </c>
      <c r="M32" s="12" t="s">
        <v>101</v>
      </c>
      <c r="N32" s="10">
        <f t="shared" si="24"/>
        <v>0</v>
      </c>
      <c r="Y32" s="10">
        <f t="shared" si="25"/>
        <v>0</v>
      </c>
      <c r="Z32" s="10">
        <f t="shared" si="26"/>
        <v>0</v>
      </c>
      <c r="AA32" s="10">
        <f t="shared" si="27"/>
        <v>0</v>
      </c>
      <c r="AC32" s="14">
        <v>21</v>
      </c>
      <c r="AD32" s="14">
        <f>G32*1</f>
        <v>0</v>
      </c>
      <c r="AE32" s="14">
        <f>G32*(1-1)</f>
        <v>0</v>
      </c>
      <c r="AL32" s="14">
        <f t="shared" si="28"/>
        <v>0</v>
      </c>
      <c r="AM32" s="14">
        <f t="shared" si="29"/>
        <v>0</v>
      </c>
      <c r="AN32" s="15" t="s">
        <v>92</v>
      </c>
      <c r="AO32" s="15" t="s">
        <v>76</v>
      </c>
      <c r="AP32" s="25" t="s">
        <v>77</v>
      </c>
    </row>
    <row r="33" spans="1:42" x14ac:dyDescent="0.2">
      <c r="A33" s="215" t="s">
        <v>147</v>
      </c>
      <c r="B33" s="3"/>
      <c r="C33" s="3" t="s">
        <v>159</v>
      </c>
      <c r="D33" s="49" t="s">
        <v>162</v>
      </c>
      <c r="E33" s="3" t="s">
        <v>81</v>
      </c>
      <c r="F33" s="9">
        <v>555</v>
      </c>
      <c r="G33" s="9"/>
      <c r="H33" s="9"/>
      <c r="I33" s="9"/>
      <c r="J33" s="256"/>
      <c r="K33" s="9">
        <v>0</v>
      </c>
      <c r="L33" s="9">
        <f t="shared" ref="L33:L51" si="30">F33*K33</f>
        <v>0</v>
      </c>
      <c r="M33" s="11" t="s">
        <v>73</v>
      </c>
      <c r="N33" s="9">
        <f t="shared" ref="N33:N51" si="31">IF(M33="5",I33,0)</f>
        <v>0</v>
      </c>
      <c r="Y33" s="9">
        <f t="shared" ref="Y33:Y51" si="32">IF(AC33=0,J33,0)</f>
        <v>0</v>
      </c>
      <c r="Z33" s="9">
        <f t="shared" ref="Z33:Z51" si="33">IF(AC33=15,J33,0)</f>
        <v>0</v>
      </c>
      <c r="AA33" s="9">
        <f t="shared" ref="AA33:AA51" si="34">IF(AC33=21,J33,0)</f>
        <v>0</v>
      </c>
      <c r="AC33" s="14">
        <v>21</v>
      </c>
      <c r="AD33" s="14">
        <f>G33*0</f>
        <v>0</v>
      </c>
      <c r="AE33" s="14">
        <f>G33*(1-0)</f>
        <v>0</v>
      </c>
      <c r="AL33" s="14">
        <f t="shared" ref="AL33:AL51" si="35">F33*AD33</f>
        <v>0</v>
      </c>
      <c r="AM33" s="14">
        <f t="shared" ref="AM33:AM51" si="36">F33*AE33</f>
        <v>0</v>
      </c>
      <c r="AN33" s="15" t="s">
        <v>92</v>
      </c>
      <c r="AO33" s="15" t="s">
        <v>76</v>
      </c>
      <c r="AP33" s="25" t="s">
        <v>77</v>
      </c>
    </row>
    <row r="34" spans="1:42" x14ac:dyDescent="0.2">
      <c r="A34" s="215" t="s">
        <v>150</v>
      </c>
      <c r="B34" s="3"/>
      <c r="C34" s="3" t="s">
        <v>164</v>
      </c>
      <c r="D34" s="49" t="s">
        <v>167</v>
      </c>
      <c r="E34" s="3" t="s">
        <v>81</v>
      </c>
      <c r="F34" s="9">
        <f>F38</f>
        <v>1620</v>
      </c>
      <c r="G34" s="9"/>
      <c r="H34" s="9"/>
      <c r="I34" s="9"/>
      <c r="J34" s="256"/>
      <c r="K34" s="9">
        <v>0</v>
      </c>
      <c r="L34" s="9">
        <f t="shared" si="30"/>
        <v>0</v>
      </c>
      <c r="M34" s="11" t="s">
        <v>73</v>
      </c>
      <c r="N34" s="9">
        <f t="shared" si="31"/>
        <v>0</v>
      </c>
      <c r="Y34" s="9">
        <f t="shared" si="32"/>
        <v>0</v>
      </c>
      <c r="Z34" s="9">
        <f t="shared" si="33"/>
        <v>0</v>
      </c>
      <c r="AA34" s="9">
        <f t="shared" si="34"/>
        <v>0</v>
      </c>
      <c r="AC34" s="14">
        <v>21</v>
      </c>
      <c r="AD34" s="14">
        <f>G34*0</f>
        <v>0</v>
      </c>
      <c r="AE34" s="14">
        <f>G34*(1-0)</f>
        <v>0</v>
      </c>
      <c r="AL34" s="14">
        <f t="shared" si="35"/>
        <v>0</v>
      </c>
      <c r="AM34" s="14">
        <f t="shared" si="36"/>
        <v>0</v>
      </c>
      <c r="AN34" s="15" t="s">
        <v>92</v>
      </c>
      <c r="AO34" s="15" t="s">
        <v>76</v>
      </c>
      <c r="AP34" s="25" t="s">
        <v>77</v>
      </c>
    </row>
    <row r="35" spans="1:42" x14ac:dyDescent="0.2">
      <c r="A35" s="215" t="s">
        <v>153</v>
      </c>
      <c r="B35" s="3"/>
      <c r="C35" s="3" t="s">
        <v>185</v>
      </c>
      <c r="D35" s="49" t="s">
        <v>186</v>
      </c>
      <c r="E35" s="3" t="s">
        <v>81</v>
      </c>
      <c r="F35" s="9">
        <v>555</v>
      </c>
      <c r="G35" s="9"/>
      <c r="H35" s="9"/>
      <c r="I35" s="9"/>
      <c r="J35" s="256"/>
      <c r="K35" s="9">
        <v>0</v>
      </c>
      <c r="L35" s="9">
        <f t="shared" si="30"/>
        <v>0</v>
      </c>
      <c r="M35" s="11" t="s">
        <v>73</v>
      </c>
      <c r="N35" s="9">
        <f t="shared" si="31"/>
        <v>0</v>
      </c>
      <c r="Y35" s="9">
        <f t="shared" si="32"/>
        <v>0</v>
      </c>
      <c r="Z35" s="9">
        <f t="shared" si="33"/>
        <v>0</v>
      </c>
      <c r="AA35" s="9">
        <f t="shared" si="34"/>
        <v>0</v>
      </c>
      <c r="AC35" s="14">
        <v>21</v>
      </c>
      <c r="AD35" s="14">
        <f>G35*0.0215646940822467</f>
        <v>0</v>
      </c>
      <c r="AE35" s="14">
        <f>G35*(1-0.0215646940822467)</f>
        <v>0</v>
      </c>
      <c r="AL35" s="14">
        <f t="shared" si="35"/>
        <v>0</v>
      </c>
      <c r="AM35" s="14">
        <f t="shared" si="36"/>
        <v>0</v>
      </c>
      <c r="AN35" s="15" t="s">
        <v>92</v>
      </c>
      <c r="AO35" s="15" t="s">
        <v>76</v>
      </c>
      <c r="AP35" s="25" t="s">
        <v>77</v>
      </c>
    </row>
    <row r="36" spans="1:42" x14ac:dyDescent="0.2">
      <c r="A36" s="215" t="s">
        <v>156</v>
      </c>
      <c r="B36" s="4"/>
      <c r="C36" s="4"/>
      <c r="D36" s="251" t="s">
        <v>188</v>
      </c>
      <c r="E36" s="4" t="s">
        <v>130</v>
      </c>
      <c r="F36" s="10">
        <v>360</v>
      </c>
      <c r="G36" s="10"/>
      <c r="H36" s="10"/>
      <c r="I36" s="10"/>
      <c r="J36" s="258"/>
      <c r="K36" s="10">
        <v>0</v>
      </c>
      <c r="L36" s="10">
        <f>F36*K36</f>
        <v>0</v>
      </c>
      <c r="M36" s="12" t="s">
        <v>101</v>
      </c>
      <c r="N36" s="10">
        <f>IF(M36="5",I36,0)</f>
        <v>0</v>
      </c>
      <c r="Y36" s="10">
        <f>IF(AC36=0,J36,0)</f>
        <v>0</v>
      </c>
      <c r="Z36" s="10">
        <f>IF(AC36=15,J36,0)</f>
        <v>0</v>
      </c>
      <c r="AA36" s="10">
        <f>IF(AC36=21,J36,0)</f>
        <v>0</v>
      </c>
      <c r="AC36" s="14">
        <v>21</v>
      </c>
      <c r="AD36" s="14">
        <f>G36*1</f>
        <v>0</v>
      </c>
      <c r="AE36" s="14">
        <f>G36*(1-1)</f>
        <v>0</v>
      </c>
      <c r="AL36" s="14">
        <f>F36*AD36</f>
        <v>0</v>
      </c>
      <c r="AM36" s="14">
        <f>F36*AE36</f>
        <v>0</v>
      </c>
      <c r="AN36" s="15" t="s">
        <v>92</v>
      </c>
      <c r="AO36" s="15" t="s">
        <v>76</v>
      </c>
      <c r="AP36" s="25" t="s">
        <v>77</v>
      </c>
    </row>
    <row r="37" spans="1:42" x14ac:dyDescent="0.2">
      <c r="A37" s="215" t="s">
        <v>158</v>
      </c>
      <c r="B37" s="4"/>
      <c r="C37" s="4"/>
      <c r="D37" s="49" t="s">
        <v>190</v>
      </c>
      <c r="E37" s="4" t="s">
        <v>130</v>
      </c>
      <c r="F37" s="10">
        <v>195</v>
      </c>
      <c r="G37" s="10"/>
      <c r="H37" s="10"/>
      <c r="I37" s="10"/>
      <c r="J37" s="258"/>
      <c r="K37" s="10">
        <v>0</v>
      </c>
      <c r="L37" s="10">
        <f>F37*K37</f>
        <v>0</v>
      </c>
      <c r="M37" s="12" t="s">
        <v>101</v>
      </c>
      <c r="N37" s="10">
        <f>IF(M37="5",I37,0)</f>
        <v>0</v>
      </c>
      <c r="Y37" s="10">
        <f>IF(AC37=0,J37,0)</f>
        <v>0</v>
      </c>
      <c r="Z37" s="10">
        <f>IF(AC37=15,J37,0)</f>
        <v>0</v>
      </c>
      <c r="AA37" s="10">
        <f>IF(AC37=21,J37,0)</f>
        <v>0</v>
      </c>
      <c r="AC37" s="14">
        <v>21</v>
      </c>
      <c r="AD37" s="14">
        <f>G37*1</f>
        <v>0</v>
      </c>
      <c r="AE37" s="14">
        <f>G37*(1-1)</f>
        <v>0</v>
      </c>
      <c r="AL37" s="14">
        <f>F37*AD37</f>
        <v>0</v>
      </c>
      <c r="AM37" s="14">
        <f>F37*AE37</f>
        <v>0</v>
      </c>
      <c r="AN37" s="15" t="s">
        <v>92</v>
      </c>
      <c r="AO37" s="15" t="s">
        <v>76</v>
      </c>
      <c r="AP37" s="25" t="s">
        <v>77</v>
      </c>
    </row>
    <row r="38" spans="1:42" x14ac:dyDescent="0.2">
      <c r="A38" s="215" t="s">
        <v>161</v>
      </c>
      <c r="B38" s="3"/>
      <c r="C38" s="3" t="s">
        <v>192</v>
      </c>
      <c r="D38" s="49" t="s">
        <v>193</v>
      </c>
      <c r="E38" s="3" t="s">
        <v>81</v>
      </c>
      <c r="F38" s="9">
        <f>SUM(F39:F49)</f>
        <v>1620</v>
      </c>
      <c r="G38" s="9"/>
      <c r="H38" s="9"/>
      <c r="I38" s="9"/>
      <c r="J38" s="256"/>
      <c r="K38" s="9">
        <v>0</v>
      </c>
      <c r="L38" s="9">
        <f t="shared" si="30"/>
        <v>0</v>
      </c>
      <c r="M38" s="11" t="s">
        <v>73</v>
      </c>
      <c r="N38" s="9">
        <f t="shared" si="31"/>
        <v>0</v>
      </c>
      <c r="Y38" s="9">
        <f t="shared" si="32"/>
        <v>0</v>
      </c>
      <c r="Z38" s="9">
        <f t="shared" si="33"/>
        <v>0</v>
      </c>
      <c r="AA38" s="9">
        <f t="shared" si="34"/>
        <v>0</v>
      </c>
      <c r="AC38" s="14">
        <v>21</v>
      </c>
      <c r="AD38" s="14">
        <f>G38*0.0162617180026784</f>
        <v>0</v>
      </c>
      <c r="AE38" s="14">
        <f>G38*(1-0.0162617180026784)</f>
        <v>0</v>
      </c>
      <c r="AL38" s="14">
        <f t="shared" si="35"/>
        <v>0</v>
      </c>
      <c r="AM38" s="14">
        <f t="shared" si="36"/>
        <v>0</v>
      </c>
      <c r="AN38" s="15" t="s">
        <v>92</v>
      </c>
      <c r="AO38" s="15" t="s">
        <v>76</v>
      </c>
      <c r="AP38" s="25" t="s">
        <v>77</v>
      </c>
    </row>
    <row r="39" spans="1:42" ht="24.75" x14ac:dyDescent="0.25">
      <c r="A39" s="215" t="s">
        <v>163</v>
      </c>
      <c r="B39" s="4"/>
      <c r="C39" s="4"/>
      <c r="D39" s="217" t="s">
        <v>195</v>
      </c>
      <c r="E39" s="4" t="s">
        <v>130</v>
      </c>
      <c r="F39" s="257">
        <v>135</v>
      </c>
      <c r="G39" s="10"/>
      <c r="H39" s="10"/>
      <c r="I39" s="10"/>
      <c r="J39" s="258"/>
      <c r="K39" s="10">
        <v>0</v>
      </c>
      <c r="L39" s="10">
        <f t="shared" si="30"/>
        <v>0</v>
      </c>
      <c r="M39" s="12" t="s">
        <v>101</v>
      </c>
      <c r="N39" s="10">
        <f t="shared" si="31"/>
        <v>0</v>
      </c>
      <c r="Y39" s="10">
        <f t="shared" si="32"/>
        <v>0</v>
      </c>
      <c r="Z39" s="10">
        <f t="shared" si="33"/>
        <v>0</v>
      </c>
      <c r="AA39" s="10">
        <f t="shared" si="34"/>
        <v>0</v>
      </c>
      <c r="AC39" s="14">
        <v>21</v>
      </c>
      <c r="AD39" s="14">
        <f t="shared" ref="AD39:AD49" si="37">G39*1</f>
        <v>0</v>
      </c>
      <c r="AE39" s="14">
        <f t="shared" ref="AE39:AE49" si="38">G39*(1-1)</f>
        <v>0</v>
      </c>
      <c r="AL39" s="14">
        <f t="shared" si="35"/>
        <v>0</v>
      </c>
      <c r="AM39" s="14">
        <f t="shared" si="36"/>
        <v>0</v>
      </c>
      <c r="AN39" s="15" t="s">
        <v>92</v>
      </c>
      <c r="AO39" s="15" t="s">
        <v>76</v>
      </c>
      <c r="AP39" s="25" t="s">
        <v>77</v>
      </c>
    </row>
    <row r="40" spans="1:42" ht="15" x14ac:dyDescent="0.25">
      <c r="A40" s="215" t="s">
        <v>166</v>
      </c>
      <c r="B40" s="4"/>
      <c r="C40" s="4"/>
      <c r="D40" s="217" t="s">
        <v>197</v>
      </c>
      <c r="E40" s="4" t="s">
        <v>130</v>
      </c>
      <c r="F40" s="257">
        <v>12</v>
      </c>
      <c r="G40" s="10"/>
      <c r="H40" s="10"/>
      <c r="I40" s="10"/>
      <c r="J40" s="258"/>
      <c r="K40" s="10">
        <v>0</v>
      </c>
      <c r="L40" s="10">
        <f t="shared" si="30"/>
        <v>0</v>
      </c>
      <c r="M40" s="12" t="s">
        <v>101</v>
      </c>
      <c r="N40" s="10">
        <f t="shared" si="31"/>
        <v>0</v>
      </c>
      <c r="Y40" s="10">
        <f t="shared" si="32"/>
        <v>0</v>
      </c>
      <c r="Z40" s="10">
        <f t="shared" si="33"/>
        <v>0</v>
      </c>
      <c r="AA40" s="10">
        <f t="shared" si="34"/>
        <v>0</v>
      </c>
      <c r="AC40" s="14">
        <v>21</v>
      </c>
      <c r="AD40" s="14">
        <f t="shared" si="37"/>
        <v>0</v>
      </c>
      <c r="AE40" s="14">
        <f t="shared" si="38"/>
        <v>0</v>
      </c>
      <c r="AL40" s="14">
        <f t="shared" si="35"/>
        <v>0</v>
      </c>
      <c r="AM40" s="14">
        <f t="shared" si="36"/>
        <v>0</v>
      </c>
      <c r="AN40" s="15" t="s">
        <v>92</v>
      </c>
      <c r="AO40" s="15" t="s">
        <v>76</v>
      </c>
      <c r="AP40" s="25" t="s">
        <v>77</v>
      </c>
    </row>
    <row r="41" spans="1:42" ht="15" x14ac:dyDescent="0.25">
      <c r="A41" s="215" t="s">
        <v>168</v>
      </c>
      <c r="B41" s="4"/>
      <c r="C41" s="4"/>
      <c r="D41" s="217" t="s">
        <v>199</v>
      </c>
      <c r="E41" s="4" t="s">
        <v>130</v>
      </c>
      <c r="F41" s="257">
        <v>26</v>
      </c>
      <c r="G41" s="10"/>
      <c r="H41" s="10"/>
      <c r="I41" s="10"/>
      <c r="J41" s="258"/>
      <c r="K41" s="10">
        <v>0</v>
      </c>
      <c r="L41" s="10">
        <f t="shared" si="30"/>
        <v>0</v>
      </c>
      <c r="M41" s="12" t="s">
        <v>101</v>
      </c>
      <c r="N41" s="10">
        <f t="shared" si="31"/>
        <v>0</v>
      </c>
      <c r="Y41" s="10">
        <f t="shared" si="32"/>
        <v>0</v>
      </c>
      <c r="Z41" s="10">
        <f t="shared" si="33"/>
        <v>0</v>
      </c>
      <c r="AA41" s="10">
        <f t="shared" si="34"/>
        <v>0</v>
      </c>
      <c r="AC41" s="14">
        <v>21</v>
      </c>
      <c r="AD41" s="14">
        <f t="shared" si="37"/>
        <v>0</v>
      </c>
      <c r="AE41" s="14">
        <f t="shared" si="38"/>
        <v>0</v>
      </c>
      <c r="AL41" s="14">
        <f t="shared" si="35"/>
        <v>0</v>
      </c>
      <c r="AM41" s="14">
        <f t="shared" si="36"/>
        <v>0</v>
      </c>
      <c r="AN41" s="15" t="s">
        <v>92</v>
      </c>
      <c r="AO41" s="15" t="s">
        <v>76</v>
      </c>
      <c r="AP41" s="25" t="s">
        <v>77</v>
      </c>
    </row>
    <row r="42" spans="1:42" ht="15" x14ac:dyDescent="0.25">
      <c r="A42" s="215" t="s">
        <v>171</v>
      </c>
      <c r="B42" s="4"/>
      <c r="C42" s="4"/>
      <c r="D42" s="217" t="s">
        <v>201</v>
      </c>
      <c r="E42" s="4" t="s">
        <v>130</v>
      </c>
      <c r="F42" s="257">
        <v>95</v>
      </c>
      <c r="G42" s="10"/>
      <c r="H42" s="10"/>
      <c r="I42" s="10"/>
      <c r="J42" s="258"/>
      <c r="K42" s="10">
        <v>0</v>
      </c>
      <c r="L42" s="10">
        <f t="shared" si="30"/>
        <v>0</v>
      </c>
      <c r="M42" s="12" t="s">
        <v>101</v>
      </c>
      <c r="N42" s="10">
        <f t="shared" si="31"/>
        <v>0</v>
      </c>
      <c r="Y42" s="10">
        <f t="shared" si="32"/>
        <v>0</v>
      </c>
      <c r="Z42" s="10">
        <f t="shared" si="33"/>
        <v>0</v>
      </c>
      <c r="AA42" s="10">
        <f t="shared" si="34"/>
        <v>0</v>
      </c>
      <c r="AC42" s="14">
        <v>21</v>
      </c>
      <c r="AD42" s="14">
        <f t="shared" si="37"/>
        <v>0</v>
      </c>
      <c r="AE42" s="14">
        <f t="shared" si="38"/>
        <v>0</v>
      </c>
      <c r="AL42" s="14">
        <f t="shared" si="35"/>
        <v>0</v>
      </c>
      <c r="AM42" s="14">
        <f t="shared" si="36"/>
        <v>0</v>
      </c>
      <c r="AN42" s="15" t="s">
        <v>92</v>
      </c>
      <c r="AO42" s="15" t="s">
        <v>76</v>
      </c>
      <c r="AP42" s="25" t="s">
        <v>77</v>
      </c>
    </row>
    <row r="43" spans="1:42" ht="15" x14ac:dyDescent="0.25">
      <c r="A43" s="215" t="s">
        <v>173</v>
      </c>
      <c r="B43" s="4"/>
      <c r="C43" s="4"/>
      <c r="D43" s="217" t="s">
        <v>203</v>
      </c>
      <c r="E43" s="4" t="s">
        <v>130</v>
      </c>
      <c r="F43" s="257">
        <v>375</v>
      </c>
      <c r="G43" s="10"/>
      <c r="H43" s="10"/>
      <c r="I43" s="10"/>
      <c r="J43" s="258"/>
      <c r="K43" s="10">
        <v>0</v>
      </c>
      <c r="L43" s="10">
        <f t="shared" ref="L43:L49" si="39">F43*K43</f>
        <v>0</v>
      </c>
      <c r="M43" s="12" t="s">
        <v>101</v>
      </c>
      <c r="N43" s="10">
        <f t="shared" ref="N43:N49" si="40">IF(M43="5",I43,0)</f>
        <v>0</v>
      </c>
      <c r="Y43" s="10">
        <f t="shared" ref="Y43:Y49" si="41">IF(AC43=0,J43,0)</f>
        <v>0</v>
      </c>
      <c r="Z43" s="10">
        <f t="shared" ref="Z43:Z49" si="42">IF(AC43=15,J43,0)</f>
        <v>0</v>
      </c>
      <c r="AA43" s="10">
        <f t="shared" ref="AA43:AA49" si="43">IF(AC43=21,J43,0)</f>
        <v>0</v>
      </c>
      <c r="AC43" s="14">
        <v>21</v>
      </c>
      <c r="AD43" s="14">
        <f t="shared" si="37"/>
        <v>0</v>
      </c>
      <c r="AE43" s="14">
        <f t="shared" si="38"/>
        <v>0</v>
      </c>
      <c r="AL43" s="14">
        <f t="shared" ref="AL43:AL49" si="44">F43*AD43</f>
        <v>0</v>
      </c>
      <c r="AM43" s="14">
        <f t="shared" ref="AM43:AM49" si="45">F43*AE43</f>
        <v>0</v>
      </c>
      <c r="AN43" s="15" t="s">
        <v>92</v>
      </c>
      <c r="AO43" s="15" t="s">
        <v>76</v>
      </c>
      <c r="AP43" s="25" t="s">
        <v>77</v>
      </c>
    </row>
    <row r="44" spans="1:42" ht="15" x14ac:dyDescent="0.25">
      <c r="A44" s="215" t="s">
        <v>175</v>
      </c>
      <c r="B44" s="4"/>
      <c r="C44" s="4"/>
      <c r="D44" s="217" t="s">
        <v>205</v>
      </c>
      <c r="E44" s="4" t="s">
        <v>130</v>
      </c>
      <c r="F44" s="257">
        <v>40</v>
      </c>
      <c r="G44" s="10"/>
      <c r="H44" s="10"/>
      <c r="I44" s="10"/>
      <c r="J44" s="258"/>
      <c r="K44" s="10">
        <v>0</v>
      </c>
      <c r="L44" s="10">
        <f t="shared" si="39"/>
        <v>0</v>
      </c>
      <c r="M44" s="12" t="s">
        <v>101</v>
      </c>
      <c r="N44" s="10">
        <f t="shared" si="40"/>
        <v>0</v>
      </c>
      <c r="Y44" s="10">
        <f t="shared" si="41"/>
        <v>0</v>
      </c>
      <c r="Z44" s="10">
        <f t="shared" si="42"/>
        <v>0</v>
      </c>
      <c r="AA44" s="10">
        <f t="shared" si="43"/>
        <v>0</v>
      </c>
      <c r="AC44" s="14">
        <v>21</v>
      </c>
      <c r="AD44" s="14">
        <f t="shared" si="37"/>
        <v>0</v>
      </c>
      <c r="AE44" s="14">
        <f t="shared" si="38"/>
        <v>0</v>
      </c>
      <c r="AL44" s="14">
        <f t="shared" si="44"/>
        <v>0</v>
      </c>
      <c r="AM44" s="14">
        <f t="shared" si="45"/>
        <v>0</v>
      </c>
      <c r="AN44" s="15" t="s">
        <v>92</v>
      </c>
      <c r="AO44" s="15" t="s">
        <v>76</v>
      </c>
      <c r="AP44" s="25" t="s">
        <v>77</v>
      </c>
    </row>
    <row r="45" spans="1:42" ht="15" x14ac:dyDescent="0.25">
      <c r="A45" s="215" t="s">
        <v>177</v>
      </c>
      <c r="B45" s="4"/>
      <c r="C45" s="4"/>
      <c r="D45" s="217" t="s">
        <v>207</v>
      </c>
      <c r="E45" s="4" t="s">
        <v>130</v>
      </c>
      <c r="F45" s="257">
        <v>195</v>
      </c>
      <c r="G45" s="10"/>
      <c r="H45" s="10"/>
      <c r="I45" s="10"/>
      <c r="J45" s="258"/>
      <c r="K45" s="10">
        <v>0</v>
      </c>
      <c r="L45" s="10">
        <f t="shared" si="39"/>
        <v>0</v>
      </c>
      <c r="M45" s="12" t="s">
        <v>101</v>
      </c>
      <c r="N45" s="10">
        <f t="shared" si="40"/>
        <v>0</v>
      </c>
      <c r="Y45" s="10">
        <f t="shared" si="41"/>
        <v>0</v>
      </c>
      <c r="Z45" s="10">
        <f t="shared" si="42"/>
        <v>0</v>
      </c>
      <c r="AA45" s="10">
        <f t="shared" si="43"/>
        <v>0</v>
      </c>
      <c r="AC45" s="14">
        <v>21</v>
      </c>
      <c r="AD45" s="14">
        <f t="shared" si="37"/>
        <v>0</v>
      </c>
      <c r="AE45" s="14">
        <f t="shared" si="38"/>
        <v>0</v>
      </c>
      <c r="AL45" s="14">
        <f t="shared" si="44"/>
        <v>0</v>
      </c>
      <c r="AM45" s="14">
        <f t="shared" si="45"/>
        <v>0</v>
      </c>
      <c r="AN45" s="15" t="s">
        <v>92</v>
      </c>
      <c r="AO45" s="15" t="s">
        <v>76</v>
      </c>
      <c r="AP45" s="25" t="s">
        <v>77</v>
      </c>
    </row>
    <row r="46" spans="1:42" ht="15" x14ac:dyDescent="0.25">
      <c r="A46" s="215" t="s">
        <v>179</v>
      </c>
      <c r="B46" s="4"/>
      <c r="C46" s="4"/>
      <c r="D46" s="217" t="s">
        <v>216</v>
      </c>
      <c r="E46" s="4" t="s">
        <v>130</v>
      </c>
      <c r="F46" s="257">
        <v>415</v>
      </c>
      <c r="G46" s="10"/>
      <c r="H46" s="10"/>
      <c r="I46" s="10"/>
      <c r="J46" s="258"/>
      <c r="K46" s="10">
        <v>0</v>
      </c>
      <c r="L46" s="10">
        <f t="shared" si="39"/>
        <v>0</v>
      </c>
      <c r="M46" s="12" t="s">
        <v>101</v>
      </c>
      <c r="N46" s="10">
        <f t="shared" si="40"/>
        <v>0</v>
      </c>
      <c r="Y46" s="10">
        <f t="shared" si="41"/>
        <v>0</v>
      </c>
      <c r="Z46" s="10">
        <f t="shared" si="42"/>
        <v>0</v>
      </c>
      <c r="AA46" s="10">
        <f t="shared" si="43"/>
        <v>0</v>
      </c>
      <c r="AC46" s="14">
        <v>21</v>
      </c>
      <c r="AD46" s="14">
        <f t="shared" si="37"/>
        <v>0</v>
      </c>
      <c r="AE46" s="14">
        <f t="shared" si="38"/>
        <v>0</v>
      </c>
      <c r="AL46" s="14">
        <f t="shared" si="44"/>
        <v>0</v>
      </c>
      <c r="AM46" s="14">
        <f t="shared" si="45"/>
        <v>0</v>
      </c>
      <c r="AN46" s="15" t="s">
        <v>92</v>
      </c>
      <c r="AO46" s="15" t="s">
        <v>76</v>
      </c>
      <c r="AP46" s="25" t="s">
        <v>77</v>
      </c>
    </row>
    <row r="47" spans="1:42" ht="15" x14ac:dyDescent="0.25">
      <c r="A47" s="215" t="s">
        <v>182</v>
      </c>
      <c r="B47" s="4"/>
      <c r="C47" s="4"/>
      <c r="D47" s="217" t="s">
        <v>218</v>
      </c>
      <c r="E47" s="4" t="s">
        <v>130</v>
      </c>
      <c r="F47" s="257">
        <v>250</v>
      </c>
      <c r="G47" s="10"/>
      <c r="H47" s="10"/>
      <c r="I47" s="10"/>
      <c r="J47" s="258"/>
      <c r="K47" s="10">
        <v>0</v>
      </c>
      <c r="L47" s="10">
        <f t="shared" si="39"/>
        <v>0</v>
      </c>
      <c r="M47" s="12" t="s">
        <v>101</v>
      </c>
      <c r="N47" s="10">
        <f t="shared" si="40"/>
        <v>0</v>
      </c>
      <c r="Y47" s="10">
        <f t="shared" si="41"/>
        <v>0</v>
      </c>
      <c r="Z47" s="10">
        <f t="shared" si="42"/>
        <v>0</v>
      </c>
      <c r="AA47" s="10">
        <f t="shared" si="43"/>
        <v>0</v>
      </c>
      <c r="AC47" s="14">
        <v>21</v>
      </c>
      <c r="AD47" s="14">
        <f t="shared" si="37"/>
        <v>0</v>
      </c>
      <c r="AE47" s="14">
        <f t="shared" si="38"/>
        <v>0</v>
      </c>
      <c r="AL47" s="14">
        <f t="shared" si="44"/>
        <v>0</v>
      </c>
      <c r="AM47" s="14">
        <f t="shared" si="45"/>
        <v>0</v>
      </c>
      <c r="AN47" s="15" t="s">
        <v>92</v>
      </c>
      <c r="AO47" s="15" t="s">
        <v>76</v>
      </c>
      <c r="AP47" s="25" t="s">
        <v>77</v>
      </c>
    </row>
    <row r="48" spans="1:42" ht="15" x14ac:dyDescent="0.25">
      <c r="A48" s="215" t="s">
        <v>184</v>
      </c>
      <c r="B48" s="4"/>
      <c r="C48" s="4"/>
      <c r="D48" s="217" t="s">
        <v>220</v>
      </c>
      <c r="E48" s="4" t="s">
        <v>130</v>
      </c>
      <c r="F48" s="257">
        <v>27</v>
      </c>
      <c r="G48" s="10"/>
      <c r="H48" s="10"/>
      <c r="I48" s="10"/>
      <c r="J48" s="258"/>
      <c r="K48" s="10">
        <v>0</v>
      </c>
      <c r="L48" s="10">
        <f t="shared" si="39"/>
        <v>0</v>
      </c>
      <c r="M48" s="12" t="s">
        <v>101</v>
      </c>
      <c r="N48" s="10">
        <f t="shared" si="40"/>
        <v>0</v>
      </c>
      <c r="Y48" s="10">
        <f t="shared" si="41"/>
        <v>0</v>
      </c>
      <c r="Z48" s="10">
        <f t="shared" si="42"/>
        <v>0</v>
      </c>
      <c r="AA48" s="10">
        <f t="shared" si="43"/>
        <v>0</v>
      </c>
      <c r="AC48" s="14">
        <v>21</v>
      </c>
      <c r="AD48" s="14">
        <f t="shared" si="37"/>
        <v>0</v>
      </c>
      <c r="AE48" s="14">
        <f t="shared" si="38"/>
        <v>0</v>
      </c>
      <c r="AL48" s="14">
        <f t="shared" si="44"/>
        <v>0</v>
      </c>
      <c r="AM48" s="14">
        <f t="shared" si="45"/>
        <v>0</v>
      </c>
      <c r="AN48" s="15" t="s">
        <v>92</v>
      </c>
      <c r="AO48" s="15" t="s">
        <v>76</v>
      </c>
      <c r="AP48" s="25" t="s">
        <v>77</v>
      </c>
    </row>
    <row r="49" spans="1:48" ht="15" x14ac:dyDescent="0.25">
      <c r="A49" s="215" t="s">
        <v>187</v>
      </c>
      <c r="B49" s="4"/>
      <c r="C49" s="4"/>
      <c r="D49" s="217" t="s">
        <v>222</v>
      </c>
      <c r="E49" s="4" t="s">
        <v>130</v>
      </c>
      <c r="F49" s="257">
        <v>50</v>
      </c>
      <c r="G49" s="10"/>
      <c r="H49" s="10"/>
      <c r="I49" s="10"/>
      <c r="J49" s="258"/>
      <c r="K49" s="10">
        <v>0</v>
      </c>
      <c r="L49" s="10">
        <f t="shared" si="39"/>
        <v>0</v>
      </c>
      <c r="M49" s="12" t="s">
        <v>101</v>
      </c>
      <c r="N49" s="10">
        <f t="shared" si="40"/>
        <v>0</v>
      </c>
      <c r="Y49" s="10">
        <f t="shared" si="41"/>
        <v>0</v>
      </c>
      <c r="Z49" s="10">
        <f t="shared" si="42"/>
        <v>0</v>
      </c>
      <c r="AA49" s="10">
        <f t="shared" si="43"/>
        <v>0</v>
      </c>
      <c r="AC49" s="14">
        <v>21</v>
      </c>
      <c r="AD49" s="14">
        <f t="shared" si="37"/>
        <v>0</v>
      </c>
      <c r="AE49" s="14">
        <f t="shared" si="38"/>
        <v>0</v>
      </c>
      <c r="AL49" s="14">
        <f t="shared" si="44"/>
        <v>0</v>
      </c>
      <c r="AM49" s="14">
        <f t="shared" si="45"/>
        <v>0</v>
      </c>
      <c r="AN49" s="15" t="s">
        <v>92</v>
      </c>
      <c r="AO49" s="15" t="s">
        <v>76</v>
      </c>
      <c r="AP49" s="25" t="s">
        <v>77</v>
      </c>
    </row>
    <row r="50" spans="1:48" ht="24" x14ac:dyDescent="0.2">
      <c r="A50" s="215" t="s">
        <v>189</v>
      </c>
      <c r="B50" s="3"/>
      <c r="C50" s="3" t="s">
        <v>224</v>
      </c>
      <c r="D50" s="49" t="s">
        <v>225</v>
      </c>
      <c r="E50" s="3" t="s">
        <v>88</v>
      </c>
      <c r="F50" s="9">
        <v>3.2000000000000001E-2</v>
      </c>
      <c r="G50" s="9"/>
      <c r="H50" s="9"/>
      <c r="I50" s="9"/>
      <c r="J50" s="256"/>
      <c r="K50" s="9">
        <v>0</v>
      </c>
      <c r="L50" s="9">
        <f t="shared" si="30"/>
        <v>0</v>
      </c>
      <c r="M50" s="11" t="s">
        <v>73</v>
      </c>
      <c r="N50" s="9">
        <f t="shared" si="31"/>
        <v>0</v>
      </c>
      <c r="Y50" s="9">
        <f t="shared" si="32"/>
        <v>0</v>
      </c>
      <c r="Z50" s="9">
        <f t="shared" si="33"/>
        <v>0</v>
      </c>
      <c r="AA50" s="9">
        <f t="shared" si="34"/>
        <v>0</v>
      </c>
      <c r="AC50" s="14">
        <v>21</v>
      </c>
      <c r="AD50" s="14">
        <f>G50*0</f>
        <v>0</v>
      </c>
      <c r="AE50" s="14">
        <f>G50*(1-0)</f>
        <v>0</v>
      </c>
      <c r="AL50" s="14">
        <f t="shared" si="35"/>
        <v>0</v>
      </c>
      <c r="AM50" s="14">
        <f t="shared" si="36"/>
        <v>0</v>
      </c>
      <c r="AN50" s="15" t="s">
        <v>92</v>
      </c>
      <c r="AO50" s="15" t="s">
        <v>76</v>
      </c>
      <c r="AP50" s="25" t="s">
        <v>77</v>
      </c>
    </row>
    <row r="51" spans="1:48" x14ac:dyDescent="0.2">
      <c r="A51" s="215" t="s">
        <v>191</v>
      </c>
      <c r="B51" s="4"/>
      <c r="C51" s="4" t="s">
        <v>227</v>
      </c>
      <c r="D51" s="49" t="s">
        <v>228</v>
      </c>
      <c r="E51" s="4" t="s">
        <v>229</v>
      </c>
      <c r="F51" s="10">
        <v>32</v>
      </c>
      <c r="G51" s="10"/>
      <c r="H51" s="10"/>
      <c r="I51" s="10"/>
      <c r="J51" s="258"/>
      <c r="K51" s="10">
        <v>1E-3</v>
      </c>
      <c r="L51" s="10">
        <f t="shared" si="30"/>
        <v>3.2000000000000001E-2</v>
      </c>
      <c r="M51" s="12" t="s">
        <v>101</v>
      </c>
      <c r="N51" s="10">
        <f t="shared" si="31"/>
        <v>0</v>
      </c>
      <c r="Y51" s="10">
        <f t="shared" si="32"/>
        <v>0</v>
      </c>
      <c r="Z51" s="10">
        <f t="shared" si="33"/>
        <v>0</v>
      </c>
      <c r="AA51" s="10">
        <f t="shared" si="34"/>
        <v>0</v>
      </c>
      <c r="AC51" s="14">
        <v>21</v>
      </c>
      <c r="AD51" s="14">
        <f>G51*1</f>
        <v>0</v>
      </c>
      <c r="AE51" s="14">
        <f>G51*(1-1)</f>
        <v>0</v>
      </c>
      <c r="AL51" s="14">
        <f t="shared" si="35"/>
        <v>0</v>
      </c>
      <c r="AM51" s="14">
        <f t="shared" si="36"/>
        <v>0</v>
      </c>
      <c r="AN51" s="15" t="s">
        <v>92</v>
      </c>
      <c r="AO51" s="15" t="s">
        <v>76</v>
      </c>
      <c r="AP51" s="25" t="s">
        <v>77</v>
      </c>
    </row>
    <row r="52" spans="1:48" x14ac:dyDescent="0.2">
      <c r="A52" s="215" t="s">
        <v>194</v>
      </c>
      <c r="B52" s="3"/>
      <c r="C52" s="3" t="s">
        <v>154</v>
      </c>
      <c r="D52" s="49" t="s">
        <v>400</v>
      </c>
      <c r="E52" s="3" t="s">
        <v>74</v>
      </c>
      <c r="F52" s="9">
        <v>727</v>
      </c>
      <c r="G52" s="9"/>
      <c r="H52" s="9"/>
      <c r="I52" s="9"/>
      <c r="J52" s="256"/>
      <c r="K52" s="9">
        <v>0</v>
      </c>
      <c r="L52" s="9">
        <f t="shared" ref="L52:L57" si="46">F52*K52</f>
        <v>0</v>
      </c>
      <c r="M52" s="11" t="s">
        <v>73</v>
      </c>
      <c r="N52" s="9">
        <f t="shared" ref="N52:N57" si="47">IF(M52="5",I52,0)</f>
        <v>0</v>
      </c>
      <c r="Y52" s="9">
        <f t="shared" ref="Y52:Y57" si="48">IF(AC52=0,J52,0)</f>
        <v>0</v>
      </c>
      <c r="Z52" s="9">
        <f t="shared" ref="Z52:Z57" si="49">IF(AC52=15,J52,0)</f>
        <v>0</v>
      </c>
      <c r="AA52" s="9">
        <f t="shared" ref="AA52:AA57" si="50">IF(AC52=21,J52,0)</f>
        <v>0</v>
      </c>
      <c r="AC52" s="14">
        <v>21</v>
      </c>
      <c r="AD52" s="14">
        <f>G52*0</f>
        <v>0</v>
      </c>
      <c r="AE52" s="14">
        <f>G52*(1-0)</f>
        <v>0</v>
      </c>
      <c r="AL52" s="14">
        <f t="shared" ref="AL52:AL57" si="51">F52*AD52</f>
        <v>0</v>
      </c>
      <c r="AM52" s="14">
        <f t="shared" ref="AM52:AM57" si="52">F52*AE52</f>
        <v>0</v>
      </c>
      <c r="AN52" s="15" t="s">
        <v>92</v>
      </c>
      <c r="AO52" s="15" t="s">
        <v>76</v>
      </c>
      <c r="AP52" s="25" t="s">
        <v>77</v>
      </c>
    </row>
    <row r="53" spans="1:48" x14ac:dyDescent="0.2">
      <c r="A53" s="215" t="s">
        <v>196</v>
      </c>
      <c r="B53" s="4"/>
      <c r="C53" s="4" t="s">
        <v>157</v>
      </c>
      <c r="D53" s="49" t="s">
        <v>399</v>
      </c>
      <c r="E53" s="4" t="s">
        <v>84</v>
      </c>
      <c r="F53" s="10">
        <v>70</v>
      </c>
      <c r="G53" s="10"/>
      <c r="H53" s="10"/>
      <c r="I53" s="10"/>
      <c r="J53" s="258"/>
      <c r="K53" s="10">
        <v>0.6</v>
      </c>
      <c r="L53" s="10">
        <f t="shared" si="46"/>
        <v>42</v>
      </c>
      <c r="M53" s="12" t="s">
        <v>101</v>
      </c>
      <c r="N53" s="10">
        <f t="shared" si="47"/>
        <v>0</v>
      </c>
      <c r="Y53" s="10">
        <f t="shared" si="48"/>
        <v>0</v>
      </c>
      <c r="Z53" s="10">
        <f t="shared" si="49"/>
        <v>0</v>
      </c>
      <c r="AA53" s="10">
        <f t="shared" si="50"/>
        <v>0</v>
      </c>
      <c r="AC53" s="14">
        <v>21</v>
      </c>
      <c r="AD53" s="14">
        <f>G53*1</f>
        <v>0</v>
      </c>
      <c r="AE53" s="14">
        <f>G53*(1-1)</f>
        <v>0</v>
      </c>
      <c r="AL53" s="14">
        <f t="shared" si="51"/>
        <v>0</v>
      </c>
      <c r="AM53" s="14">
        <f t="shared" si="52"/>
        <v>0</v>
      </c>
      <c r="AN53" s="15" t="s">
        <v>92</v>
      </c>
      <c r="AO53" s="15" t="s">
        <v>76</v>
      </c>
      <c r="AP53" s="25" t="s">
        <v>77</v>
      </c>
    </row>
    <row r="54" spans="1:48" x14ac:dyDescent="0.2">
      <c r="A54" s="215" t="s">
        <v>198</v>
      </c>
      <c r="B54" s="3"/>
      <c r="C54" s="3" t="s">
        <v>233</v>
      </c>
      <c r="D54" s="49" t="s">
        <v>234</v>
      </c>
      <c r="E54" s="3" t="s">
        <v>74</v>
      </c>
      <c r="F54" s="9">
        <v>7.04</v>
      </c>
      <c r="G54" s="9"/>
      <c r="H54" s="9"/>
      <c r="I54" s="9"/>
      <c r="J54" s="256"/>
      <c r="K54" s="9">
        <v>0</v>
      </c>
      <c r="L54" s="9">
        <f t="shared" si="46"/>
        <v>0</v>
      </c>
      <c r="M54" s="11" t="s">
        <v>73</v>
      </c>
      <c r="N54" s="9">
        <f t="shared" si="47"/>
        <v>0</v>
      </c>
      <c r="Y54" s="9">
        <f t="shared" si="48"/>
        <v>0</v>
      </c>
      <c r="Z54" s="9">
        <f t="shared" si="49"/>
        <v>0</v>
      </c>
      <c r="AA54" s="9">
        <f t="shared" si="50"/>
        <v>0</v>
      </c>
      <c r="AC54" s="14">
        <v>21</v>
      </c>
      <c r="AD54" s="14">
        <f>G54*0</f>
        <v>0</v>
      </c>
      <c r="AE54" s="14">
        <f>G54*(1-0)</f>
        <v>0</v>
      </c>
      <c r="AL54" s="14">
        <f t="shared" si="51"/>
        <v>0</v>
      </c>
      <c r="AM54" s="14">
        <f t="shared" si="52"/>
        <v>0</v>
      </c>
      <c r="AN54" s="15" t="s">
        <v>92</v>
      </c>
      <c r="AO54" s="15" t="s">
        <v>76</v>
      </c>
      <c r="AP54" s="25" t="s">
        <v>77</v>
      </c>
    </row>
    <row r="55" spans="1:48" ht="15" x14ac:dyDescent="0.25">
      <c r="A55" s="215" t="s">
        <v>200</v>
      </c>
      <c r="B55" s="4"/>
      <c r="C55" s="4"/>
      <c r="D55" s="217" t="s">
        <v>239</v>
      </c>
      <c r="E55" s="4" t="s">
        <v>74</v>
      </c>
      <c r="F55" s="257">
        <v>727.3</v>
      </c>
      <c r="G55" s="10"/>
      <c r="H55" s="10"/>
      <c r="I55" s="10"/>
      <c r="J55" s="258"/>
      <c r="K55" s="10">
        <v>0</v>
      </c>
      <c r="L55" s="10">
        <f t="shared" si="46"/>
        <v>0</v>
      </c>
      <c r="M55" s="12" t="s">
        <v>101</v>
      </c>
      <c r="N55" s="10">
        <f t="shared" si="47"/>
        <v>0</v>
      </c>
      <c r="Y55" s="10">
        <f t="shared" si="48"/>
        <v>0</v>
      </c>
      <c r="Z55" s="10">
        <f t="shared" si="49"/>
        <v>0</v>
      </c>
      <c r="AA55" s="10">
        <f t="shared" si="50"/>
        <v>0</v>
      </c>
      <c r="AC55" s="14">
        <v>21</v>
      </c>
      <c r="AD55" s="14">
        <f>G55*1</f>
        <v>0</v>
      </c>
      <c r="AE55" s="14">
        <f>G55*(1-1)</f>
        <v>0</v>
      </c>
      <c r="AL55" s="14">
        <f t="shared" si="51"/>
        <v>0</v>
      </c>
      <c r="AM55" s="14">
        <f t="shared" si="52"/>
        <v>0</v>
      </c>
      <c r="AN55" s="15" t="s">
        <v>92</v>
      </c>
      <c r="AO55" s="15" t="s">
        <v>76</v>
      </c>
      <c r="AP55" s="25" t="s">
        <v>77</v>
      </c>
    </row>
    <row r="56" spans="1:48" ht="15" x14ac:dyDescent="0.25">
      <c r="A56" s="215" t="s">
        <v>202</v>
      </c>
      <c r="B56" s="4"/>
      <c r="C56" s="4"/>
      <c r="D56" s="217" t="s">
        <v>241</v>
      </c>
      <c r="E56" s="4" t="s">
        <v>130</v>
      </c>
      <c r="F56" s="218">
        <f>F21</f>
        <v>8</v>
      </c>
      <c r="G56" s="10"/>
      <c r="H56" s="10"/>
      <c r="I56" s="10"/>
      <c r="J56" s="258"/>
      <c r="K56" s="10">
        <v>0</v>
      </c>
      <c r="L56" s="10">
        <f t="shared" ref="L56" si="53">F56*K56</f>
        <v>0</v>
      </c>
      <c r="M56" s="12" t="s">
        <v>101</v>
      </c>
      <c r="N56" s="10">
        <f t="shared" ref="N56" si="54">IF(M56="5",I56,0)</f>
        <v>0</v>
      </c>
      <c r="Y56" s="10">
        <f t="shared" ref="Y56" si="55">IF(AC56=0,J56,0)</f>
        <v>0</v>
      </c>
      <c r="Z56" s="10">
        <f t="shared" ref="Z56" si="56">IF(AC56=15,J56,0)</f>
        <v>0</v>
      </c>
      <c r="AA56" s="10">
        <f t="shared" ref="AA56" si="57">IF(AC56=21,J56,0)</f>
        <v>0</v>
      </c>
      <c r="AC56" s="14">
        <v>21</v>
      </c>
      <c r="AD56" s="14">
        <f>G56*1</f>
        <v>0</v>
      </c>
      <c r="AE56" s="14">
        <f>G56*(1-1)</f>
        <v>0</v>
      </c>
      <c r="AL56" s="14">
        <f t="shared" ref="AL56" si="58">F56*AD56</f>
        <v>0</v>
      </c>
      <c r="AM56" s="14">
        <f t="shared" ref="AM56" si="59">F56*AE56</f>
        <v>0</v>
      </c>
      <c r="AN56" s="15" t="s">
        <v>92</v>
      </c>
      <c r="AO56" s="15" t="s">
        <v>76</v>
      </c>
      <c r="AP56" s="25" t="s">
        <v>77</v>
      </c>
    </row>
    <row r="57" spans="1:48" ht="15.75" thickBot="1" x14ac:dyDescent="0.3">
      <c r="A57" s="215" t="s">
        <v>204</v>
      </c>
      <c r="B57" s="4"/>
      <c r="C57" s="210" t="s">
        <v>401</v>
      </c>
      <c r="D57" s="211" t="s">
        <v>284</v>
      </c>
      <c r="E57" s="4" t="s">
        <v>88</v>
      </c>
      <c r="F57" s="218">
        <v>75.2</v>
      </c>
      <c r="G57" s="10"/>
      <c r="H57" s="10"/>
      <c r="I57" s="10"/>
      <c r="J57" s="258"/>
      <c r="K57" s="10">
        <v>0</v>
      </c>
      <c r="L57" s="10">
        <f t="shared" si="46"/>
        <v>0</v>
      </c>
      <c r="M57" s="12" t="s">
        <v>101</v>
      </c>
      <c r="N57" s="10">
        <f t="shared" si="47"/>
        <v>0</v>
      </c>
      <c r="Y57" s="10">
        <f t="shared" si="48"/>
        <v>0</v>
      </c>
      <c r="Z57" s="10">
        <f t="shared" si="49"/>
        <v>0</v>
      </c>
      <c r="AA57" s="10">
        <f t="shared" si="50"/>
        <v>0</v>
      </c>
      <c r="AC57" s="14">
        <v>21</v>
      </c>
      <c r="AD57" s="14">
        <f>G57*1</f>
        <v>0</v>
      </c>
      <c r="AE57" s="14">
        <f>G57*(1-1)</f>
        <v>0</v>
      </c>
      <c r="AL57" s="14">
        <f t="shared" si="51"/>
        <v>0</v>
      </c>
      <c r="AM57" s="14">
        <f t="shared" si="52"/>
        <v>0</v>
      </c>
      <c r="AN57" s="15" t="s">
        <v>92</v>
      </c>
      <c r="AO57" s="15" t="s">
        <v>76</v>
      </c>
      <c r="AP57" s="25" t="s">
        <v>77</v>
      </c>
    </row>
    <row r="58" spans="1:48" s="43" customFormat="1" ht="13.5" thickBot="1" x14ac:dyDescent="0.25">
      <c r="A58" s="40"/>
      <c r="B58" s="41"/>
      <c r="C58" s="41"/>
      <c r="D58" s="50" t="s">
        <v>247</v>
      </c>
      <c r="E58" s="41"/>
      <c r="F58" s="42"/>
      <c r="G58" s="42"/>
      <c r="H58" s="42"/>
      <c r="I58" s="42"/>
      <c r="J58" s="44">
        <f>SUM(J6:J57)</f>
        <v>0</v>
      </c>
      <c r="K58" s="42"/>
      <c r="L58" s="44"/>
      <c r="M58" s="35"/>
      <c r="N58" s="34"/>
      <c r="Y58" s="34"/>
      <c r="Z58" s="34"/>
      <c r="AA58" s="34"/>
      <c r="AC58" s="37"/>
      <c r="AD58" s="37"/>
      <c r="AE58" s="37"/>
      <c r="AL58" s="37"/>
      <c r="AM58" s="37"/>
      <c r="AN58" s="38"/>
      <c r="AO58" s="38"/>
      <c r="AP58" s="39"/>
      <c r="AV58" s="104"/>
    </row>
    <row r="59" spans="1:48" ht="13.5" thickBot="1" x14ac:dyDescent="0.25">
      <c r="A59" s="226"/>
      <c r="B59" s="227"/>
      <c r="C59" s="227"/>
      <c r="D59" s="228"/>
      <c r="E59" s="227"/>
      <c r="F59" s="227"/>
      <c r="G59" s="227"/>
      <c r="H59" s="295" t="s">
        <v>263</v>
      </c>
      <c r="I59" s="295"/>
      <c r="J59" s="285">
        <f>J58</f>
        <v>0</v>
      </c>
      <c r="K59" s="33"/>
      <c r="L59" s="45"/>
      <c r="Y59" s="14">
        <f>SUM(Y5:Y58)</f>
        <v>0</v>
      </c>
      <c r="Z59" s="14">
        <f>SUM(Z5:Z58)</f>
        <v>0</v>
      </c>
      <c r="AA59" s="14">
        <f>SUM(AA5:AA58)</f>
        <v>0</v>
      </c>
    </row>
    <row r="60" spans="1:48" ht="13.5" thickBot="1" x14ac:dyDescent="0.25">
      <c r="D60" s="266" t="s">
        <v>411</v>
      </c>
    </row>
    <row r="61" spans="1:48" x14ac:dyDescent="0.2">
      <c r="D61" s="267" t="s">
        <v>412</v>
      </c>
      <c r="E61" s="120" t="s">
        <v>416</v>
      </c>
      <c r="F61" s="268">
        <f>F6</f>
        <v>2158</v>
      </c>
    </row>
    <row r="62" spans="1:48" x14ac:dyDescent="0.2">
      <c r="D62" s="269" t="s">
        <v>413</v>
      </c>
      <c r="E62" s="101" t="s">
        <v>416</v>
      </c>
      <c r="F62" s="270">
        <f>F15</f>
        <v>1431</v>
      </c>
    </row>
    <row r="63" spans="1:48" x14ac:dyDescent="0.2">
      <c r="D63" s="269" t="s">
        <v>414</v>
      </c>
      <c r="E63" s="101" t="s">
        <v>130</v>
      </c>
      <c r="F63" s="270">
        <f>F22</f>
        <v>24</v>
      </c>
    </row>
    <row r="64" spans="1:48" x14ac:dyDescent="0.2">
      <c r="D64" s="269" t="s">
        <v>415</v>
      </c>
      <c r="E64" s="101" t="s">
        <v>130</v>
      </c>
      <c r="F64" s="270">
        <f>F33+F34</f>
        <v>2175</v>
      </c>
    </row>
    <row r="65" spans="4:6" ht="13.5" thickBot="1" x14ac:dyDescent="0.25">
      <c r="D65" s="271" t="s">
        <v>417</v>
      </c>
      <c r="E65" s="272" t="s">
        <v>416</v>
      </c>
      <c r="F65" s="273">
        <f>F52</f>
        <v>727</v>
      </c>
    </row>
  </sheetData>
  <mergeCells count="6">
    <mergeCell ref="K2:L2"/>
    <mergeCell ref="H59:I59"/>
    <mergeCell ref="A1:G1"/>
    <mergeCell ref="D19:I19"/>
    <mergeCell ref="D5:G5"/>
    <mergeCell ref="H2:J2"/>
  </mergeCells>
  <pageMargins left="0.39370078740157483" right="0.39370078740157483" top="0.59055118110236227" bottom="0.59055118110236227" header="0.51181102362204722" footer="0.51181102362204722"/>
  <pageSetup paperSize="9" scale="96" fitToHeight="0" orientation="landscape" horizontalDpi="4294967294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U90"/>
  <sheetViews>
    <sheetView workbookViewId="0">
      <selection activeCell="D7" sqref="D7"/>
    </sheetView>
  </sheetViews>
  <sheetFormatPr defaultColWidth="11.5703125" defaultRowHeight="12.75" x14ac:dyDescent="0.2"/>
  <cols>
    <col min="1" max="1" width="3.7109375" customWidth="1"/>
    <col min="2" max="2" width="6.85546875" customWidth="1"/>
    <col min="3" max="3" width="13.28515625" customWidth="1"/>
    <col min="4" max="4" width="52.5703125" style="95" customWidth="1"/>
    <col min="5" max="5" width="4.28515625" customWidth="1"/>
    <col min="6" max="6" width="11.5703125" customWidth="1"/>
    <col min="7" max="7" width="10.28515625" customWidth="1"/>
    <col min="8" max="8" width="12.5703125" customWidth="1"/>
    <col min="9" max="10" width="14.28515625" customWidth="1"/>
    <col min="11" max="12" width="11.7109375" customWidth="1"/>
    <col min="13" max="13" width="0" hidden="1" customWidth="1"/>
    <col min="14" max="46" width="12.140625" hidden="1" customWidth="1"/>
  </cols>
  <sheetData>
    <row r="1" spans="1:47" ht="24" thickBot="1" x14ac:dyDescent="0.4">
      <c r="A1" s="317" t="s">
        <v>422</v>
      </c>
      <c r="B1" s="317"/>
      <c r="C1" s="317"/>
      <c r="D1" s="317"/>
      <c r="E1" s="317"/>
      <c r="F1" s="317"/>
      <c r="G1" s="317"/>
      <c r="H1" s="317"/>
      <c r="I1" s="317"/>
      <c r="J1" s="317"/>
      <c r="K1" s="55"/>
      <c r="L1" s="55"/>
    </row>
    <row r="2" spans="1:47" x14ac:dyDescent="0.2">
      <c r="A2" s="17" t="s">
        <v>50</v>
      </c>
      <c r="B2" s="18" t="s">
        <v>13</v>
      </c>
      <c r="C2" s="18" t="s">
        <v>18</v>
      </c>
      <c r="D2" s="47" t="s">
        <v>51</v>
      </c>
      <c r="E2" s="18" t="s">
        <v>52</v>
      </c>
      <c r="F2" s="19" t="s">
        <v>53</v>
      </c>
      <c r="G2" s="20" t="s">
        <v>54</v>
      </c>
      <c r="H2" s="301" t="s">
        <v>55</v>
      </c>
      <c r="I2" s="302"/>
      <c r="J2" s="303"/>
      <c r="K2" s="293" t="s">
        <v>56</v>
      </c>
      <c r="L2" s="294"/>
      <c r="M2" s="13"/>
    </row>
    <row r="3" spans="1:47" ht="13.5" thickBot="1" x14ac:dyDescent="0.25">
      <c r="A3" s="2" t="s">
        <v>57</v>
      </c>
      <c r="B3" s="7" t="s">
        <v>57</v>
      </c>
      <c r="C3" s="7" t="s">
        <v>57</v>
      </c>
      <c r="D3" s="48" t="s">
        <v>58</v>
      </c>
      <c r="E3" s="7" t="s">
        <v>57</v>
      </c>
      <c r="F3" s="7" t="s">
        <v>57</v>
      </c>
      <c r="G3" s="21" t="s">
        <v>59</v>
      </c>
      <c r="H3" s="22" t="s">
        <v>60</v>
      </c>
      <c r="I3" s="23" t="s">
        <v>8</v>
      </c>
      <c r="J3" s="24" t="s">
        <v>61</v>
      </c>
      <c r="K3" s="277" t="s">
        <v>54</v>
      </c>
      <c r="L3" s="24" t="s">
        <v>61</v>
      </c>
      <c r="M3" s="13"/>
      <c r="O3" s="25" t="s">
        <v>62</v>
      </c>
      <c r="P3" s="25" t="s">
        <v>63</v>
      </c>
      <c r="Q3" s="25" t="s">
        <v>64</v>
      </c>
      <c r="R3" s="25" t="s">
        <v>65</v>
      </c>
      <c r="S3" s="25" t="s">
        <v>66</v>
      </c>
      <c r="T3" s="25" t="s">
        <v>67</v>
      </c>
      <c r="U3" s="25" t="s">
        <v>68</v>
      </c>
      <c r="V3" s="25" t="s">
        <v>69</v>
      </c>
      <c r="W3" s="25" t="s">
        <v>70</v>
      </c>
    </row>
    <row r="4" spans="1:47" ht="13.5" thickBot="1" x14ac:dyDescent="0.25">
      <c r="A4" s="127"/>
      <c r="B4" s="203" t="s">
        <v>71</v>
      </c>
      <c r="C4" s="203" t="s">
        <v>23</v>
      </c>
      <c r="D4" s="49"/>
      <c r="E4" s="203"/>
      <c r="F4" s="203"/>
      <c r="G4" s="15"/>
      <c r="H4" s="32"/>
      <c r="I4" s="32"/>
      <c r="J4" s="278"/>
      <c r="K4" s="32"/>
      <c r="L4" s="32"/>
      <c r="M4" s="33"/>
      <c r="O4" s="25"/>
      <c r="P4" s="25"/>
      <c r="Q4" s="25"/>
      <c r="R4" s="25"/>
      <c r="S4" s="25"/>
      <c r="T4" s="25"/>
      <c r="U4" s="25"/>
      <c r="V4" s="25"/>
      <c r="W4" s="25"/>
    </row>
    <row r="5" spans="1:47" x14ac:dyDescent="0.2">
      <c r="A5" s="213"/>
      <c r="B5" s="201"/>
      <c r="C5" s="201" t="s">
        <v>24</v>
      </c>
      <c r="D5" s="318" t="s">
        <v>25</v>
      </c>
      <c r="E5" s="319"/>
      <c r="F5" s="319"/>
      <c r="G5" s="319"/>
      <c r="H5" s="26">
        <f>SUM(H6:H9)</f>
        <v>0</v>
      </c>
      <c r="I5" s="26">
        <f>SUM(I6:I9)</f>
        <v>0</v>
      </c>
      <c r="J5" s="255">
        <f>H5+I5</f>
        <v>0</v>
      </c>
      <c r="K5" s="27"/>
      <c r="L5" s="26">
        <f>SUM(L8:L8)</f>
        <v>0</v>
      </c>
      <c r="O5" s="28">
        <f>IF(P5="PR",J5,SUM(N8:N8))</f>
        <v>0</v>
      </c>
      <c r="P5" s="25" t="s">
        <v>72</v>
      </c>
      <c r="Q5" s="28">
        <f>IF(P5="HS",H5,0)</f>
        <v>0</v>
      </c>
      <c r="R5" s="28">
        <f>IF(P5="HS",I5-O5,0)</f>
        <v>0</v>
      </c>
      <c r="S5" s="28">
        <f>IF(P5="PS",H5,0)</f>
        <v>0</v>
      </c>
      <c r="T5" s="28">
        <f>IF(P5="PS",I5-O5,0)</f>
        <v>0</v>
      </c>
      <c r="U5" s="28">
        <f>IF(P5="MP",H5,0)</f>
        <v>0</v>
      </c>
      <c r="V5" s="28">
        <f>IF(P5="MP",I5-O5,0)</f>
        <v>0</v>
      </c>
      <c r="W5" s="28">
        <f>IF(P5="OM",H5,0)</f>
        <v>0</v>
      </c>
      <c r="X5" s="25"/>
      <c r="AH5" s="28">
        <f>SUM(Y8:Y8)</f>
        <v>0</v>
      </c>
      <c r="AI5" s="28">
        <f>SUM(Z8:Z8)</f>
        <v>0</v>
      </c>
      <c r="AJ5" s="28">
        <f>SUM(AA8:AA8)</f>
        <v>0</v>
      </c>
    </row>
    <row r="6" spans="1:47" ht="24" x14ac:dyDescent="0.2">
      <c r="A6" s="215" t="s">
        <v>73</v>
      </c>
      <c r="B6" s="3"/>
      <c r="C6" s="3" t="s">
        <v>294</v>
      </c>
      <c r="D6" s="49" t="s">
        <v>295</v>
      </c>
      <c r="E6" s="3" t="s">
        <v>74</v>
      </c>
      <c r="F6" s="9">
        <v>218</v>
      </c>
      <c r="G6" s="9"/>
      <c r="H6" s="9"/>
      <c r="I6" s="9"/>
      <c r="J6" s="256">
        <f>ROUND(F6*G6,2)</f>
        <v>0</v>
      </c>
      <c r="K6" s="9">
        <v>0</v>
      </c>
      <c r="L6" s="9">
        <f>F6*K6</f>
        <v>0</v>
      </c>
      <c r="M6" s="11" t="s">
        <v>73</v>
      </c>
      <c r="N6" s="9">
        <f>IF(M6="5",I6,0)</f>
        <v>0</v>
      </c>
      <c r="Y6" s="9">
        <f>IF(AC6=0,J6,0)</f>
        <v>0</v>
      </c>
      <c r="Z6" s="9">
        <f>IF(AC6=15,J6,0)</f>
        <v>0</v>
      </c>
      <c r="AA6" s="9">
        <f>IF(AC6=21,J6,0)</f>
        <v>0</v>
      </c>
      <c r="AC6" s="14">
        <v>21</v>
      </c>
      <c r="AD6" s="14">
        <f>G6*0</f>
        <v>0</v>
      </c>
      <c r="AE6" s="14">
        <f>G6*(1-0)</f>
        <v>0</v>
      </c>
      <c r="AL6" s="14">
        <f>F6*AD6</f>
        <v>0</v>
      </c>
      <c r="AM6" s="14">
        <f>F6*AE6</f>
        <v>0</v>
      </c>
      <c r="AN6" s="15" t="s">
        <v>75</v>
      </c>
      <c r="AO6" s="15" t="s">
        <v>76</v>
      </c>
      <c r="AP6" s="25" t="s">
        <v>77</v>
      </c>
    </row>
    <row r="7" spans="1:47" ht="36" x14ac:dyDescent="0.2">
      <c r="A7" s="215" t="s">
        <v>78</v>
      </c>
      <c r="B7" s="3"/>
      <c r="C7" s="3" t="s">
        <v>296</v>
      </c>
      <c r="D7" s="96" t="s">
        <v>297</v>
      </c>
      <c r="E7" s="3" t="s">
        <v>140</v>
      </c>
      <c r="F7" s="9">
        <v>121</v>
      </c>
      <c r="G7" s="9"/>
      <c r="H7" s="9"/>
      <c r="I7" s="9"/>
      <c r="J7" s="256">
        <f>ROUND(F7*G7,2)</f>
        <v>0</v>
      </c>
      <c r="K7" s="9">
        <v>0.04</v>
      </c>
      <c r="L7" s="9">
        <f>F7*K7</f>
        <v>4.84</v>
      </c>
      <c r="M7" s="11" t="s">
        <v>280</v>
      </c>
      <c r="N7" s="11" t="s">
        <v>73</v>
      </c>
      <c r="O7" s="9">
        <f>IF(N7="5",I7,0)</f>
        <v>0</v>
      </c>
      <c r="Z7" s="9">
        <f>IF(AD7=0,J7,0)</f>
        <v>0</v>
      </c>
      <c r="AA7" s="9">
        <f>IF(AD7=15,J7,0)</f>
        <v>0</v>
      </c>
      <c r="AB7" s="9">
        <f>IF(AD7=21,J7,0)</f>
        <v>0</v>
      </c>
      <c r="AD7" s="14">
        <v>21</v>
      </c>
      <c r="AE7" s="14">
        <f>G7*0</f>
        <v>0</v>
      </c>
      <c r="AF7" s="14">
        <f>G7*(1-0)</f>
        <v>0</v>
      </c>
      <c r="AM7" s="14">
        <f>F7*AE7</f>
        <v>0</v>
      </c>
      <c r="AN7" s="14">
        <f>F7*AF7</f>
        <v>0</v>
      </c>
      <c r="AO7" s="15" t="s">
        <v>75</v>
      </c>
      <c r="AP7" s="15" t="s">
        <v>76</v>
      </c>
      <c r="AQ7" s="39" t="s">
        <v>77</v>
      </c>
    </row>
    <row r="8" spans="1:47" ht="24" x14ac:dyDescent="0.2">
      <c r="A8" s="215" t="s">
        <v>85</v>
      </c>
      <c r="B8" s="3"/>
      <c r="C8" s="3" t="s">
        <v>298</v>
      </c>
      <c r="D8" s="49" t="s">
        <v>299</v>
      </c>
      <c r="E8" s="3" t="s">
        <v>74</v>
      </c>
      <c r="F8" s="9">
        <f>F23*2</f>
        <v>2520</v>
      </c>
      <c r="G8" s="9"/>
      <c r="H8" s="9"/>
      <c r="I8" s="9"/>
      <c r="J8" s="256">
        <f>ROUND(F8*G8,2)</f>
        <v>0</v>
      </c>
      <c r="K8" s="9">
        <v>0</v>
      </c>
      <c r="L8" s="9">
        <f>F8*K8</f>
        <v>0</v>
      </c>
      <c r="M8" s="11" t="s">
        <v>73</v>
      </c>
      <c r="N8" s="9">
        <f>IF(M8="5",I8,0)</f>
        <v>0</v>
      </c>
      <c r="Y8" s="9">
        <f>IF(AC8=0,J8,0)</f>
        <v>0</v>
      </c>
      <c r="Z8" s="9">
        <f>IF(AC8=15,J8,0)</f>
        <v>0</v>
      </c>
      <c r="AA8" s="9">
        <f>IF(AC8=21,J8,0)</f>
        <v>0</v>
      </c>
      <c r="AC8" s="14">
        <v>21</v>
      </c>
      <c r="AD8" s="14">
        <f>G8*0</f>
        <v>0</v>
      </c>
      <c r="AE8" s="14">
        <f>G8*(1-0)</f>
        <v>0</v>
      </c>
      <c r="AL8" s="14">
        <f>F8*AD8</f>
        <v>0</v>
      </c>
      <c r="AM8" s="14">
        <f>F8*AE8</f>
        <v>0</v>
      </c>
      <c r="AN8" s="15" t="s">
        <v>75</v>
      </c>
      <c r="AO8" s="15" t="s">
        <v>76</v>
      </c>
      <c r="AP8" s="25" t="s">
        <v>77</v>
      </c>
    </row>
    <row r="9" spans="1:47" x14ac:dyDescent="0.2">
      <c r="A9" s="215" t="s">
        <v>82</v>
      </c>
      <c r="B9" s="3"/>
      <c r="C9" s="3" t="s">
        <v>283</v>
      </c>
      <c r="D9" s="49" t="s">
        <v>284</v>
      </c>
      <c r="E9" s="3" t="s">
        <v>88</v>
      </c>
      <c r="F9" s="9">
        <f>L12+L10+L5</f>
        <v>57.771886400000007</v>
      </c>
      <c r="G9" s="9"/>
      <c r="H9" s="9"/>
      <c r="I9" s="9"/>
      <c r="J9" s="256">
        <f>ROUND(F9*G9,2)</f>
        <v>0</v>
      </c>
      <c r="K9" s="9">
        <v>0</v>
      </c>
      <c r="L9" s="9">
        <f>F9*K9</f>
        <v>0</v>
      </c>
      <c r="M9" s="11"/>
      <c r="N9" s="9"/>
      <c r="Y9" s="9"/>
      <c r="Z9" s="9"/>
      <c r="AA9" s="9"/>
      <c r="AC9" s="14"/>
      <c r="AD9" s="14"/>
      <c r="AE9" s="14"/>
      <c r="AL9" s="14"/>
      <c r="AM9" s="14"/>
      <c r="AN9" s="15"/>
      <c r="AO9" s="15"/>
      <c r="AP9" s="25"/>
    </row>
    <row r="10" spans="1:47" x14ac:dyDescent="0.2">
      <c r="A10" s="262"/>
      <c r="B10" s="202"/>
      <c r="C10" s="202" t="s">
        <v>26</v>
      </c>
      <c r="D10" s="299" t="s">
        <v>27</v>
      </c>
      <c r="E10" s="300"/>
      <c r="F10" s="300"/>
      <c r="G10" s="300"/>
      <c r="H10" s="28"/>
      <c r="I10" s="28"/>
      <c r="J10" s="263">
        <f>H10+I10</f>
        <v>0</v>
      </c>
      <c r="K10" s="25"/>
      <c r="L10" s="28">
        <f>SUM(L11:L11)</f>
        <v>0</v>
      </c>
      <c r="O10" s="28">
        <f>IF(P10="PR",J10,SUM(N11:N11))</f>
        <v>0</v>
      </c>
      <c r="P10" s="25" t="s">
        <v>72</v>
      </c>
      <c r="Q10" s="28">
        <f>IF(P10="HS",H10,0)</f>
        <v>0</v>
      </c>
      <c r="R10" s="28">
        <f>IF(P10="HS",I10-O10,0)</f>
        <v>0</v>
      </c>
      <c r="S10" s="28">
        <f>IF(P10="PS",H10,0)</f>
        <v>0</v>
      </c>
      <c r="T10" s="28">
        <f>IF(P10="PS",I10-O10,0)</f>
        <v>0</v>
      </c>
      <c r="U10" s="28">
        <f>IF(P10="MP",H10,0)</f>
        <v>0</v>
      </c>
      <c r="V10" s="28">
        <f>IF(P10="MP",I10-O10,0)</f>
        <v>0</v>
      </c>
      <c r="W10" s="28">
        <f>IF(P10="OM",H10,0)</f>
        <v>0</v>
      </c>
      <c r="X10" s="25"/>
      <c r="AH10" s="28">
        <f>SUM(Y11:Y11)</f>
        <v>0</v>
      </c>
      <c r="AI10" s="28">
        <f>SUM(Z11:Z11)</f>
        <v>0</v>
      </c>
      <c r="AJ10" s="28">
        <f>SUM(AA11:AA11)</f>
        <v>0</v>
      </c>
    </row>
    <row r="11" spans="1:47" x14ac:dyDescent="0.2">
      <c r="A11" s="215" t="s">
        <v>87</v>
      </c>
      <c r="B11" s="3"/>
      <c r="C11" s="3"/>
      <c r="D11" s="49" t="s">
        <v>300</v>
      </c>
      <c r="E11" s="3" t="s">
        <v>88</v>
      </c>
      <c r="F11" s="9">
        <v>60</v>
      </c>
      <c r="G11" s="9"/>
      <c r="H11" s="9"/>
      <c r="I11" s="9"/>
      <c r="J11" s="256">
        <f>ROUND(F11*G11,2)</f>
        <v>0</v>
      </c>
      <c r="K11" s="9">
        <v>0</v>
      </c>
      <c r="L11" s="9">
        <f>F11*K11</f>
        <v>0</v>
      </c>
      <c r="M11" s="11" t="s">
        <v>85</v>
      </c>
      <c r="N11" s="9">
        <f>IF(M11="5",I11,0)</f>
        <v>0</v>
      </c>
      <c r="Y11" s="9">
        <f>IF(AC11=0,J11,0)</f>
        <v>0</v>
      </c>
      <c r="Z11" s="9">
        <f>IF(AC11=15,J11,0)</f>
        <v>0</v>
      </c>
      <c r="AA11" s="9">
        <f>IF(AC11=21,J11,0)</f>
        <v>0</v>
      </c>
      <c r="AC11" s="14">
        <v>21</v>
      </c>
      <c r="AD11" s="14">
        <f>G11*0</f>
        <v>0</v>
      </c>
      <c r="AE11" s="14">
        <f>G11*(1-0)</f>
        <v>0</v>
      </c>
      <c r="AL11" s="14">
        <f>F11*AD11</f>
        <v>0</v>
      </c>
      <c r="AM11" s="14">
        <f>F11*AE11</f>
        <v>0</v>
      </c>
      <c r="AN11" s="15" t="s">
        <v>86</v>
      </c>
      <c r="AO11" s="15" t="s">
        <v>76</v>
      </c>
      <c r="AP11" s="25" t="s">
        <v>77</v>
      </c>
    </row>
    <row r="12" spans="1:47" x14ac:dyDescent="0.2">
      <c r="A12" s="262"/>
      <c r="B12" s="202"/>
      <c r="C12" s="202" t="s">
        <v>28</v>
      </c>
      <c r="D12" s="299" t="s">
        <v>29</v>
      </c>
      <c r="E12" s="300"/>
      <c r="F12" s="300"/>
      <c r="G12" s="300"/>
      <c r="H12" s="28">
        <f>SUM(H13:H73)</f>
        <v>0</v>
      </c>
      <c r="I12" s="28">
        <f>SUM(I13:I73)</f>
        <v>0</v>
      </c>
      <c r="J12" s="263">
        <f>H12+I12</f>
        <v>0</v>
      </c>
      <c r="K12" s="25"/>
      <c r="L12" s="28">
        <f>SUM(L13:L73)</f>
        <v>57.771886400000007</v>
      </c>
      <c r="O12" s="28">
        <f>IF(P12="PR",J12,SUM(N13:N71))</f>
        <v>0</v>
      </c>
      <c r="P12" s="25" t="s">
        <v>72</v>
      </c>
      <c r="Q12" s="28">
        <f>IF(P12="HS",H12,0)</f>
        <v>0</v>
      </c>
      <c r="R12" s="28">
        <f>IF(P12="HS",I12-O12,0)</f>
        <v>0</v>
      </c>
      <c r="S12" s="28">
        <f>IF(P12="PS",H12,0)</f>
        <v>0</v>
      </c>
      <c r="T12" s="28">
        <f>IF(P12="PS",I12-O12,0)</f>
        <v>0</v>
      </c>
      <c r="U12" s="28">
        <f>IF(P12="MP",H12,0)</f>
        <v>0</v>
      </c>
      <c r="V12" s="28">
        <f>IF(P12="MP",I12-O12,0)</f>
        <v>0</v>
      </c>
      <c r="W12" s="28">
        <f>IF(P12="OM",H12,0)</f>
        <v>0</v>
      </c>
      <c r="X12" s="25"/>
      <c r="AH12" s="28">
        <f>SUM(Y13:Y71)</f>
        <v>0</v>
      </c>
      <c r="AI12" s="28">
        <f>SUM(Z13:Z71)</f>
        <v>0</v>
      </c>
      <c r="AJ12" s="28">
        <f>SUM(AA13:AA71)</f>
        <v>0</v>
      </c>
    </row>
    <row r="13" spans="1:47" x14ac:dyDescent="0.2">
      <c r="A13" s="215" t="s">
        <v>89</v>
      </c>
      <c r="B13" s="3"/>
      <c r="C13" s="3" t="s">
        <v>90</v>
      </c>
      <c r="D13" s="49" t="s">
        <v>91</v>
      </c>
      <c r="E13" s="3" t="s">
        <v>74</v>
      </c>
      <c r="F13" s="9">
        <v>2017</v>
      </c>
      <c r="G13" s="9"/>
      <c r="H13" s="9"/>
      <c r="I13" s="9"/>
      <c r="J13" s="256">
        <f t="shared" ref="J13:J23" si="0">ROUND(F13*G13,2)</f>
        <v>0</v>
      </c>
      <c r="K13" s="9">
        <v>0</v>
      </c>
      <c r="L13" s="9">
        <f t="shared" ref="L13:L23" si="1">F13*K13</f>
        <v>0</v>
      </c>
      <c r="M13" s="11" t="s">
        <v>73</v>
      </c>
      <c r="N13" s="9">
        <f>IF(M13="5",I13,0)</f>
        <v>0</v>
      </c>
      <c r="Y13" s="9">
        <f>IF(AC13=0,J13,0)</f>
        <v>0</v>
      </c>
      <c r="Z13" s="9">
        <f>IF(AC13=15,J13,0)</f>
        <v>0</v>
      </c>
      <c r="AA13" s="9">
        <f>IF(AC13=21,J13,0)</f>
        <v>0</v>
      </c>
      <c r="AC13" s="14">
        <v>21</v>
      </c>
      <c r="AD13" s="14">
        <f>G13*0.0152671755725191</f>
        <v>0</v>
      </c>
      <c r="AE13" s="14">
        <f>G13*(1-0.0152671755725191)</f>
        <v>0</v>
      </c>
      <c r="AL13" s="14">
        <f>F13*AD13</f>
        <v>0</v>
      </c>
      <c r="AM13" s="14">
        <f>F13*AE13</f>
        <v>0</v>
      </c>
      <c r="AN13" s="15" t="s">
        <v>92</v>
      </c>
      <c r="AO13" s="15" t="s">
        <v>76</v>
      </c>
      <c r="AP13" s="25" t="s">
        <v>77</v>
      </c>
    </row>
    <row r="14" spans="1:47" x14ac:dyDescent="0.2">
      <c r="A14" s="215" t="s">
        <v>93</v>
      </c>
      <c r="B14" s="3"/>
      <c r="C14" s="3"/>
      <c r="D14" s="49" t="s">
        <v>94</v>
      </c>
      <c r="E14" s="3" t="s">
        <v>95</v>
      </c>
      <c r="F14" s="9">
        <f>F13*0.001</f>
        <v>2.0169999999999999</v>
      </c>
      <c r="G14" s="9"/>
      <c r="H14" s="9"/>
      <c r="I14" s="9"/>
      <c r="J14" s="256">
        <f t="shared" si="0"/>
        <v>0</v>
      </c>
      <c r="K14" s="9">
        <v>0</v>
      </c>
      <c r="L14" s="9">
        <f t="shared" si="1"/>
        <v>0</v>
      </c>
      <c r="M14" s="11"/>
      <c r="N14" s="9"/>
      <c r="Y14" s="9"/>
      <c r="Z14" s="9"/>
      <c r="AA14" s="9"/>
      <c r="AC14" s="14"/>
      <c r="AD14" s="14"/>
      <c r="AE14" s="14"/>
      <c r="AL14" s="14"/>
      <c r="AM14" s="14"/>
      <c r="AN14" s="15"/>
      <c r="AO14" s="15"/>
      <c r="AP14" s="25"/>
      <c r="AU14" s="30"/>
    </row>
    <row r="15" spans="1:47" ht="24" x14ac:dyDescent="0.2">
      <c r="A15" s="215" t="s">
        <v>96</v>
      </c>
      <c r="B15" s="3"/>
      <c r="C15" s="3" t="s">
        <v>97</v>
      </c>
      <c r="D15" s="49" t="s">
        <v>301</v>
      </c>
      <c r="E15" s="3" t="s">
        <v>74</v>
      </c>
      <c r="F15" s="9">
        <v>660</v>
      </c>
      <c r="G15" s="9"/>
      <c r="H15" s="9"/>
      <c r="I15" s="9"/>
      <c r="J15" s="256">
        <f t="shared" si="0"/>
        <v>0</v>
      </c>
      <c r="K15" s="9">
        <v>3.0000000000000001E-5</v>
      </c>
      <c r="L15" s="9">
        <f t="shared" si="1"/>
        <v>1.9800000000000002E-2</v>
      </c>
      <c r="M15" s="11" t="s">
        <v>85</v>
      </c>
      <c r="N15" s="9">
        <f t="shared" ref="N15:N21" si="2">IF(M15="5",I15,0)</f>
        <v>0</v>
      </c>
      <c r="Y15" s="9">
        <f t="shared" ref="Y15:Y21" si="3">IF(AC15=0,J15,0)</f>
        <v>0</v>
      </c>
      <c r="Z15" s="9">
        <f t="shared" ref="Z15:Z21" si="4">IF(AC15=15,J15,0)</f>
        <v>0</v>
      </c>
      <c r="AA15" s="9">
        <f t="shared" ref="AA15:AA21" si="5">IF(AC15=21,J15,0)</f>
        <v>0</v>
      </c>
      <c r="AC15" s="14">
        <v>21</v>
      </c>
      <c r="AD15" s="14">
        <f>G15*0.0679679330777274</f>
        <v>0</v>
      </c>
      <c r="AE15" s="14">
        <f>G15*(1-0.0679679330777274)</f>
        <v>0</v>
      </c>
      <c r="AL15" s="14">
        <f t="shared" ref="AL15:AL21" si="6">F15*AD15</f>
        <v>0</v>
      </c>
      <c r="AM15" s="14">
        <f t="shared" ref="AM15:AM21" si="7">F15*AE15</f>
        <v>0</v>
      </c>
      <c r="AN15" s="15" t="s">
        <v>92</v>
      </c>
      <c r="AO15" s="15" t="s">
        <v>76</v>
      </c>
      <c r="AP15" s="25" t="s">
        <v>77</v>
      </c>
      <c r="AU15" s="30"/>
    </row>
    <row r="16" spans="1:47" x14ac:dyDescent="0.2">
      <c r="A16" s="215" t="s">
        <v>98</v>
      </c>
      <c r="B16" s="4"/>
      <c r="C16" s="4" t="s">
        <v>99</v>
      </c>
      <c r="D16" s="49" t="s">
        <v>100</v>
      </c>
      <c r="E16" s="4" t="s">
        <v>84</v>
      </c>
      <c r="F16" s="10">
        <v>10</v>
      </c>
      <c r="G16" s="10"/>
      <c r="H16" s="10"/>
      <c r="I16" s="10"/>
      <c r="J16" s="258">
        <f t="shared" si="0"/>
        <v>0</v>
      </c>
      <c r="K16" s="10">
        <v>0.6</v>
      </c>
      <c r="L16" s="10">
        <f t="shared" si="1"/>
        <v>6</v>
      </c>
      <c r="M16" s="12" t="s">
        <v>101</v>
      </c>
      <c r="N16" s="10">
        <f t="shared" si="2"/>
        <v>0</v>
      </c>
      <c r="Y16" s="10">
        <f t="shared" si="3"/>
        <v>0</v>
      </c>
      <c r="Z16" s="10">
        <f t="shared" si="4"/>
        <v>0</v>
      </c>
      <c r="AA16" s="10">
        <f t="shared" si="5"/>
        <v>0</v>
      </c>
      <c r="AC16" s="14">
        <v>21</v>
      </c>
      <c r="AD16" s="14">
        <f>G16*1</f>
        <v>0</v>
      </c>
      <c r="AE16" s="14">
        <f>G16*(1-1)</f>
        <v>0</v>
      </c>
      <c r="AL16" s="14">
        <f t="shared" si="6"/>
        <v>0</v>
      </c>
      <c r="AM16" s="14">
        <f t="shared" si="7"/>
        <v>0</v>
      </c>
      <c r="AN16" s="15" t="s">
        <v>92</v>
      </c>
      <c r="AO16" s="15" t="s">
        <v>76</v>
      </c>
      <c r="AP16" s="25" t="s">
        <v>77</v>
      </c>
    </row>
    <row r="17" spans="1:43" x14ac:dyDescent="0.2">
      <c r="A17" s="215" t="s">
        <v>102</v>
      </c>
      <c r="B17" s="4"/>
      <c r="C17" s="4" t="s">
        <v>103</v>
      </c>
      <c r="D17" s="49" t="s">
        <v>104</v>
      </c>
      <c r="E17" s="4" t="s">
        <v>84</v>
      </c>
      <c r="F17" s="10">
        <v>20</v>
      </c>
      <c r="G17" s="10"/>
      <c r="H17" s="10"/>
      <c r="I17" s="10"/>
      <c r="J17" s="258">
        <f t="shared" si="0"/>
        <v>0</v>
      </c>
      <c r="K17" s="10">
        <v>0.6</v>
      </c>
      <c r="L17" s="10">
        <f t="shared" si="1"/>
        <v>12</v>
      </c>
      <c r="M17" s="12" t="s">
        <v>101</v>
      </c>
      <c r="N17" s="10">
        <f t="shared" si="2"/>
        <v>0</v>
      </c>
      <c r="Y17" s="10">
        <f t="shared" si="3"/>
        <v>0</v>
      </c>
      <c r="Z17" s="10">
        <f t="shared" si="4"/>
        <v>0</v>
      </c>
      <c r="AA17" s="10">
        <f t="shared" si="5"/>
        <v>0</v>
      </c>
      <c r="AC17" s="14">
        <v>21</v>
      </c>
      <c r="AD17" s="14">
        <f>G17*1</f>
        <v>0</v>
      </c>
      <c r="AE17" s="14">
        <f>G17*(1-1)</f>
        <v>0</v>
      </c>
      <c r="AL17" s="14">
        <f t="shared" si="6"/>
        <v>0</v>
      </c>
      <c r="AM17" s="14">
        <f t="shared" si="7"/>
        <v>0</v>
      </c>
      <c r="AN17" s="15" t="s">
        <v>92</v>
      </c>
      <c r="AO17" s="15" t="s">
        <v>76</v>
      </c>
      <c r="AP17" s="25" t="s">
        <v>77</v>
      </c>
    </row>
    <row r="18" spans="1:43" x14ac:dyDescent="0.2">
      <c r="A18" s="215" t="s">
        <v>24</v>
      </c>
      <c r="B18" s="3"/>
      <c r="C18" s="3" t="s">
        <v>105</v>
      </c>
      <c r="D18" s="49" t="s">
        <v>265</v>
      </c>
      <c r="E18" s="3" t="s">
        <v>74</v>
      </c>
      <c r="F18" s="9">
        <v>2017</v>
      </c>
      <c r="G18" s="9"/>
      <c r="H18" s="9"/>
      <c r="I18" s="9"/>
      <c r="J18" s="256">
        <f t="shared" si="0"/>
        <v>0</v>
      </c>
      <c r="K18" s="9">
        <v>0</v>
      </c>
      <c r="L18" s="9">
        <f t="shared" si="1"/>
        <v>0</v>
      </c>
      <c r="M18" s="11" t="s">
        <v>73</v>
      </c>
      <c r="N18" s="9">
        <f t="shared" si="2"/>
        <v>0</v>
      </c>
      <c r="Y18" s="9">
        <f t="shared" si="3"/>
        <v>0</v>
      </c>
      <c r="Z18" s="9">
        <f t="shared" si="4"/>
        <v>0</v>
      </c>
      <c r="AA18" s="9">
        <f t="shared" si="5"/>
        <v>0</v>
      </c>
      <c r="AC18" s="14">
        <v>21</v>
      </c>
      <c r="AD18" s="14">
        <f>G18*0</f>
        <v>0</v>
      </c>
      <c r="AE18" s="14">
        <f>G18*(1-0)</f>
        <v>0</v>
      </c>
      <c r="AL18" s="14">
        <f t="shared" si="6"/>
        <v>0</v>
      </c>
      <c r="AM18" s="14">
        <f t="shared" si="7"/>
        <v>0</v>
      </c>
      <c r="AN18" s="15" t="s">
        <v>92</v>
      </c>
      <c r="AO18" s="15" t="s">
        <v>76</v>
      </c>
      <c r="AP18" s="25" t="s">
        <v>77</v>
      </c>
    </row>
    <row r="19" spans="1:43" x14ac:dyDescent="0.2">
      <c r="A19" s="215" t="s">
        <v>26</v>
      </c>
      <c r="B19" s="3"/>
      <c r="C19" s="3" t="s">
        <v>106</v>
      </c>
      <c r="D19" s="49" t="s">
        <v>274</v>
      </c>
      <c r="E19" s="3" t="s">
        <v>74</v>
      </c>
      <c r="F19" s="9">
        <v>2017</v>
      </c>
      <c r="G19" s="9"/>
      <c r="H19" s="9"/>
      <c r="I19" s="9"/>
      <c r="J19" s="256">
        <f t="shared" si="0"/>
        <v>0</v>
      </c>
      <c r="K19" s="9">
        <v>0</v>
      </c>
      <c r="L19" s="9">
        <f t="shared" si="1"/>
        <v>0</v>
      </c>
      <c r="M19" s="11" t="s">
        <v>73</v>
      </c>
      <c r="N19" s="9">
        <f t="shared" si="2"/>
        <v>0</v>
      </c>
      <c r="Y19" s="9">
        <f t="shared" si="3"/>
        <v>0</v>
      </c>
      <c r="Z19" s="9">
        <f t="shared" si="4"/>
        <v>0</v>
      </c>
      <c r="AA19" s="9">
        <f t="shared" si="5"/>
        <v>0</v>
      </c>
      <c r="AC19" s="14">
        <v>21</v>
      </c>
      <c r="AD19" s="14">
        <f>G19*0</f>
        <v>0</v>
      </c>
      <c r="AE19" s="14">
        <f>G19*(1-0)</f>
        <v>0</v>
      </c>
      <c r="AL19" s="14">
        <f t="shared" si="6"/>
        <v>0</v>
      </c>
      <c r="AM19" s="14">
        <f t="shared" si="7"/>
        <v>0</v>
      </c>
      <c r="AN19" s="15" t="s">
        <v>92</v>
      </c>
      <c r="AO19" s="15" t="s">
        <v>76</v>
      </c>
      <c r="AP19" s="25" t="s">
        <v>77</v>
      </c>
    </row>
    <row r="20" spans="1:43" x14ac:dyDescent="0.2">
      <c r="A20" s="215" t="s">
        <v>107</v>
      </c>
      <c r="B20" s="3"/>
      <c r="C20" s="3" t="s">
        <v>108</v>
      </c>
      <c r="D20" s="49" t="s">
        <v>109</v>
      </c>
      <c r="E20" s="3" t="s">
        <v>74</v>
      </c>
      <c r="F20" s="9">
        <v>2017</v>
      </c>
      <c r="G20" s="9"/>
      <c r="H20" s="9"/>
      <c r="I20" s="9"/>
      <c r="J20" s="256">
        <f t="shared" si="0"/>
        <v>0</v>
      </c>
      <c r="K20" s="9">
        <v>0</v>
      </c>
      <c r="L20" s="9">
        <f t="shared" si="1"/>
        <v>0</v>
      </c>
      <c r="M20" s="11" t="s">
        <v>73</v>
      </c>
      <c r="N20" s="9">
        <f t="shared" si="2"/>
        <v>0</v>
      </c>
      <c r="Y20" s="9">
        <f t="shared" si="3"/>
        <v>0</v>
      </c>
      <c r="Z20" s="9">
        <f t="shared" si="4"/>
        <v>0</v>
      </c>
      <c r="AA20" s="9">
        <f t="shared" si="5"/>
        <v>0</v>
      </c>
      <c r="AC20" s="14">
        <v>21</v>
      </c>
      <c r="AD20" s="14">
        <f>G20*0</f>
        <v>0</v>
      </c>
      <c r="AE20" s="14">
        <f>G20*(1-0)</f>
        <v>0</v>
      </c>
      <c r="AL20" s="14">
        <f t="shared" si="6"/>
        <v>0</v>
      </c>
      <c r="AM20" s="14">
        <f t="shared" si="7"/>
        <v>0</v>
      </c>
      <c r="AN20" s="15" t="s">
        <v>92</v>
      </c>
      <c r="AO20" s="15" t="s">
        <v>76</v>
      </c>
      <c r="AP20" s="25" t="s">
        <v>77</v>
      </c>
    </row>
    <row r="21" spans="1:43" x14ac:dyDescent="0.2">
      <c r="A21" s="215" t="s">
        <v>110</v>
      </c>
      <c r="B21" s="3"/>
      <c r="C21" s="3" t="s">
        <v>90</v>
      </c>
      <c r="D21" s="49" t="s">
        <v>91</v>
      </c>
      <c r="E21" s="3" t="s">
        <v>74</v>
      </c>
      <c r="F21" s="9">
        <v>2017</v>
      </c>
      <c r="G21" s="9"/>
      <c r="H21" s="9"/>
      <c r="I21" s="9"/>
      <c r="J21" s="256">
        <f t="shared" si="0"/>
        <v>0</v>
      </c>
      <c r="K21" s="9">
        <v>0</v>
      </c>
      <c r="L21" s="9">
        <f t="shared" si="1"/>
        <v>0</v>
      </c>
      <c r="M21" s="11" t="s">
        <v>73</v>
      </c>
      <c r="N21" s="9">
        <f t="shared" si="2"/>
        <v>0</v>
      </c>
      <c r="Y21" s="9">
        <f t="shared" si="3"/>
        <v>0</v>
      </c>
      <c r="Z21" s="9">
        <f t="shared" si="4"/>
        <v>0</v>
      </c>
      <c r="AA21" s="9">
        <f t="shared" si="5"/>
        <v>0</v>
      </c>
      <c r="AC21" s="14">
        <v>21</v>
      </c>
      <c r="AD21" s="14">
        <f>G21*0.0152671755725191</f>
        <v>0</v>
      </c>
      <c r="AE21" s="14">
        <f>G21*(1-0.0152671755725191)</f>
        <v>0</v>
      </c>
      <c r="AL21" s="14">
        <f t="shared" si="6"/>
        <v>0</v>
      </c>
      <c r="AM21" s="14">
        <f t="shared" si="7"/>
        <v>0</v>
      </c>
      <c r="AN21" s="15" t="s">
        <v>92</v>
      </c>
      <c r="AO21" s="15" t="s">
        <v>76</v>
      </c>
      <c r="AP21" s="25" t="s">
        <v>77</v>
      </c>
    </row>
    <row r="22" spans="1:43" x14ac:dyDescent="0.2">
      <c r="A22" s="215" t="s">
        <v>111</v>
      </c>
      <c r="B22" s="3"/>
      <c r="C22" s="3"/>
      <c r="D22" s="49" t="s">
        <v>264</v>
      </c>
      <c r="E22" s="3" t="s">
        <v>95</v>
      </c>
      <c r="F22" s="9">
        <f>F21*0.001</f>
        <v>2.0169999999999999</v>
      </c>
      <c r="G22" s="9"/>
      <c r="H22" s="9"/>
      <c r="I22" s="9"/>
      <c r="J22" s="256">
        <f t="shared" si="0"/>
        <v>0</v>
      </c>
      <c r="K22" s="9">
        <v>0</v>
      </c>
      <c r="L22" s="9">
        <f t="shared" si="1"/>
        <v>0</v>
      </c>
      <c r="M22" s="11"/>
      <c r="N22" s="9"/>
      <c r="Y22" s="9"/>
      <c r="Z22" s="9"/>
      <c r="AA22" s="9"/>
      <c r="AC22" s="14"/>
      <c r="AD22" s="14"/>
      <c r="AE22" s="14"/>
      <c r="AL22" s="14"/>
      <c r="AM22" s="14"/>
      <c r="AN22" s="15"/>
      <c r="AO22" s="15"/>
      <c r="AP22" s="25"/>
    </row>
    <row r="23" spans="1:43" x14ac:dyDescent="0.2">
      <c r="A23" s="215" t="s">
        <v>114</v>
      </c>
      <c r="B23" s="3"/>
      <c r="C23" s="3" t="s">
        <v>116</v>
      </c>
      <c r="D23" s="49" t="s">
        <v>117</v>
      </c>
      <c r="E23" s="3" t="s">
        <v>74</v>
      </c>
      <c r="F23" s="9">
        <v>1260</v>
      </c>
      <c r="G23" s="9"/>
      <c r="H23" s="9"/>
      <c r="I23" s="9"/>
      <c r="J23" s="256">
        <f t="shared" si="0"/>
        <v>0</v>
      </c>
      <c r="K23" s="9">
        <v>3.0000000000000001E-5</v>
      </c>
      <c r="L23" s="9">
        <f t="shared" si="1"/>
        <v>3.78E-2</v>
      </c>
      <c r="M23" s="11" t="s">
        <v>85</v>
      </c>
      <c r="N23" s="9">
        <f>IF(M23="5",I23,0)</f>
        <v>0</v>
      </c>
      <c r="Y23" s="9">
        <f>IF(AC23=0,J23,0)</f>
        <v>0</v>
      </c>
      <c r="Z23" s="9">
        <f>IF(AC23=15,J23,0)</f>
        <v>0</v>
      </c>
      <c r="AA23" s="9">
        <f>IF(AC23=21,J23,0)</f>
        <v>0</v>
      </c>
      <c r="AC23" s="14">
        <v>21</v>
      </c>
      <c r="AD23" s="14">
        <f>G23*0.263768115942029</f>
        <v>0</v>
      </c>
      <c r="AE23" s="14">
        <f>G23*(1-0.263768115942029)</f>
        <v>0</v>
      </c>
      <c r="AL23" s="14">
        <f>F23*AD23</f>
        <v>0</v>
      </c>
      <c r="AM23" s="14">
        <f>F23*AE23</f>
        <v>0</v>
      </c>
      <c r="AN23" s="15" t="s">
        <v>92</v>
      </c>
      <c r="AO23" s="15" t="s">
        <v>76</v>
      </c>
      <c r="AP23" s="25" t="s">
        <v>77</v>
      </c>
    </row>
    <row r="24" spans="1:43" ht="25.7" customHeight="1" x14ac:dyDescent="0.2">
      <c r="A24" s="215" t="s">
        <v>115</v>
      </c>
      <c r="B24" s="101"/>
      <c r="C24" s="8"/>
      <c r="D24" s="298" t="s">
        <v>118</v>
      </c>
      <c r="E24" s="298"/>
      <c r="F24" s="298"/>
      <c r="G24" s="298"/>
      <c r="H24" s="298"/>
      <c r="I24" s="298"/>
      <c r="J24" s="279"/>
      <c r="K24" s="97"/>
      <c r="L24" s="97"/>
    </row>
    <row r="25" spans="1:43" x14ac:dyDescent="0.2">
      <c r="A25" s="215" t="s">
        <v>28</v>
      </c>
      <c r="B25" s="3"/>
      <c r="C25" s="3" t="s">
        <v>302</v>
      </c>
      <c r="D25" s="52" t="s">
        <v>303</v>
      </c>
      <c r="E25" s="3" t="s">
        <v>74</v>
      </c>
      <c r="F25" s="9">
        <v>338</v>
      </c>
      <c r="G25" s="9"/>
      <c r="H25" s="9"/>
      <c r="I25" s="9"/>
      <c r="J25" s="256">
        <f t="shared" ref="J25:J56" si="8">ROUND(F25*G25,2)</f>
        <v>0</v>
      </c>
      <c r="K25" s="9">
        <v>0</v>
      </c>
      <c r="L25" s="9">
        <f t="shared" ref="L25:L56" si="9">F25*K25</f>
        <v>0</v>
      </c>
      <c r="M25" s="11" t="s">
        <v>280</v>
      </c>
      <c r="N25" s="11" t="s">
        <v>73</v>
      </c>
      <c r="O25" s="9">
        <f>IF(N25="5",I25,0)</f>
        <v>0</v>
      </c>
      <c r="Z25" s="9">
        <f>IF(AD25=0,J25,0)</f>
        <v>0</v>
      </c>
      <c r="AA25" s="9">
        <f>IF(AD25=15,J25,0)</f>
        <v>0</v>
      </c>
      <c r="AB25" s="9">
        <f>IF(AD25=21,J25,0)</f>
        <v>0</v>
      </c>
      <c r="AD25" s="14">
        <v>21</v>
      </c>
      <c r="AE25" s="14">
        <f>G25*0.0920840064620355</f>
        <v>0</v>
      </c>
      <c r="AF25" s="14">
        <f>G25*(1-0.0920840064620355)</f>
        <v>0</v>
      </c>
      <c r="AM25" s="14">
        <f t="shared" ref="AM25:AM56" si="10">F25*AE25</f>
        <v>0</v>
      </c>
      <c r="AN25" s="14">
        <f>F25*AF25</f>
        <v>0</v>
      </c>
      <c r="AO25" s="15" t="s">
        <v>92</v>
      </c>
      <c r="AP25" s="15" t="s">
        <v>76</v>
      </c>
      <c r="AQ25" s="39" t="s">
        <v>77</v>
      </c>
    </row>
    <row r="26" spans="1:43" x14ac:dyDescent="0.2">
      <c r="A26" s="215" t="s">
        <v>119</v>
      </c>
      <c r="B26" s="4"/>
      <c r="C26" s="4" t="s">
        <v>304</v>
      </c>
      <c r="D26" s="98" t="s">
        <v>305</v>
      </c>
      <c r="E26" s="4" t="s">
        <v>229</v>
      </c>
      <c r="F26" s="10">
        <f>F25*0.004</f>
        <v>1.3520000000000001</v>
      </c>
      <c r="G26" s="10"/>
      <c r="H26" s="10"/>
      <c r="I26" s="10"/>
      <c r="J26" s="258">
        <f t="shared" si="8"/>
        <v>0</v>
      </c>
      <c r="K26" s="10">
        <v>1E-3</v>
      </c>
      <c r="L26" s="10">
        <f t="shared" si="9"/>
        <v>1.3520000000000001E-3</v>
      </c>
      <c r="M26" s="12" t="s">
        <v>280</v>
      </c>
      <c r="N26" s="12" t="s">
        <v>101</v>
      </c>
      <c r="O26" s="10">
        <f>IF(N26="5",I26,0)</f>
        <v>0</v>
      </c>
      <c r="Z26" s="10">
        <f>IF(AD26=0,J26,0)</f>
        <v>0</v>
      </c>
      <c r="AA26" s="10">
        <f>IF(AD26=15,J26,0)</f>
        <v>0</v>
      </c>
      <c r="AB26" s="10">
        <f>IF(AD26=21,J26,0)</f>
        <v>0</v>
      </c>
      <c r="AD26" s="14">
        <v>21</v>
      </c>
      <c r="AE26" s="14">
        <f>G26*1</f>
        <v>0</v>
      </c>
      <c r="AF26" s="14">
        <f>G26*(1-1)</f>
        <v>0</v>
      </c>
      <c r="AM26" s="14">
        <f t="shared" si="10"/>
        <v>0</v>
      </c>
      <c r="AN26" s="14">
        <f>F26*AF26</f>
        <v>0</v>
      </c>
      <c r="AO26" s="15" t="s">
        <v>92</v>
      </c>
      <c r="AP26" s="15" t="s">
        <v>76</v>
      </c>
      <c r="AQ26" s="39" t="s">
        <v>77</v>
      </c>
    </row>
    <row r="27" spans="1:43" x14ac:dyDescent="0.2">
      <c r="A27" s="215" t="s">
        <v>121</v>
      </c>
      <c r="B27" s="3"/>
      <c r="C27" s="3" t="s">
        <v>154</v>
      </c>
      <c r="D27" s="49" t="s">
        <v>306</v>
      </c>
      <c r="E27" s="3" t="s">
        <v>74</v>
      </c>
      <c r="F27" s="9">
        <v>419</v>
      </c>
      <c r="G27" s="9"/>
      <c r="H27" s="9"/>
      <c r="I27" s="9"/>
      <c r="J27" s="256">
        <f t="shared" si="8"/>
        <v>0</v>
      </c>
      <c r="K27" s="9">
        <v>0</v>
      </c>
      <c r="L27" s="9">
        <f t="shared" si="9"/>
        <v>0</v>
      </c>
      <c r="M27" s="11" t="s">
        <v>73</v>
      </c>
      <c r="N27" s="9">
        <f t="shared" ref="N27:N73" si="11">IF(M27="5",I27,0)</f>
        <v>0</v>
      </c>
      <c r="Y27" s="9">
        <f t="shared" ref="Y27:Y73" si="12">IF(AC27=0,J27,0)</f>
        <v>0</v>
      </c>
      <c r="Z27" s="9">
        <f t="shared" ref="Z27:Z73" si="13">IF(AC27=15,J27,0)</f>
        <v>0</v>
      </c>
      <c r="AA27" s="9">
        <f t="shared" ref="AA27:AA73" si="14">IF(AC27=21,J27,0)</f>
        <v>0</v>
      </c>
      <c r="AC27" s="14">
        <v>21</v>
      </c>
      <c r="AD27" s="14">
        <f>G27*0</f>
        <v>0</v>
      </c>
      <c r="AE27" s="14">
        <f>G27*(1-0)</f>
        <v>0</v>
      </c>
      <c r="AL27" s="14">
        <f t="shared" ref="AL27:AL73" si="15">F27*AD27</f>
        <v>0</v>
      </c>
      <c r="AM27" s="14">
        <f t="shared" si="10"/>
        <v>0</v>
      </c>
      <c r="AN27" s="15" t="s">
        <v>92</v>
      </c>
      <c r="AO27" s="15" t="s">
        <v>76</v>
      </c>
      <c r="AP27" s="25" t="s">
        <v>77</v>
      </c>
    </row>
    <row r="28" spans="1:43" x14ac:dyDescent="0.2">
      <c r="A28" s="215" t="s">
        <v>124</v>
      </c>
      <c r="B28" s="4"/>
      <c r="C28" s="4" t="s">
        <v>157</v>
      </c>
      <c r="D28" s="49" t="s">
        <v>307</v>
      </c>
      <c r="E28" s="4" t="s">
        <v>84</v>
      </c>
      <c r="F28" s="10">
        <v>41</v>
      </c>
      <c r="G28" s="10"/>
      <c r="H28" s="10"/>
      <c r="I28" s="10"/>
      <c r="J28" s="258">
        <f t="shared" si="8"/>
        <v>0</v>
      </c>
      <c r="K28" s="10">
        <v>0.6</v>
      </c>
      <c r="L28" s="10">
        <f t="shared" si="9"/>
        <v>24.599999999999998</v>
      </c>
      <c r="M28" s="12" t="s">
        <v>101</v>
      </c>
      <c r="N28" s="10">
        <f t="shared" si="11"/>
        <v>0</v>
      </c>
      <c r="Y28" s="10">
        <f t="shared" si="12"/>
        <v>0</v>
      </c>
      <c r="Z28" s="10">
        <f t="shared" si="13"/>
        <v>0</v>
      </c>
      <c r="AA28" s="10">
        <f t="shared" si="14"/>
        <v>0</v>
      </c>
      <c r="AC28" s="14">
        <v>21</v>
      </c>
      <c r="AD28" s="14">
        <f>G28*1</f>
        <v>0</v>
      </c>
      <c r="AE28" s="14">
        <f>G28*(1-1)</f>
        <v>0</v>
      </c>
      <c r="AL28" s="14">
        <f t="shared" si="15"/>
        <v>0</v>
      </c>
      <c r="AM28" s="14">
        <f t="shared" si="10"/>
        <v>0</v>
      </c>
      <c r="AN28" s="15" t="s">
        <v>92</v>
      </c>
      <c r="AO28" s="15" t="s">
        <v>76</v>
      </c>
      <c r="AP28" s="25" t="s">
        <v>77</v>
      </c>
    </row>
    <row r="29" spans="1:43" x14ac:dyDescent="0.2">
      <c r="A29" s="215" t="s">
        <v>127</v>
      </c>
      <c r="B29" s="3"/>
      <c r="C29" s="3" t="s">
        <v>154</v>
      </c>
      <c r="D29" s="49" t="s">
        <v>308</v>
      </c>
      <c r="E29" s="3" t="s">
        <v>74</v>
      </c>
      <c r="F29" s="9">
        <v>18.84</v>
      </c>
      <c r="G29" s="9"/>
      <c r="H29" s="9"/>
      <c r="I29" s="9"/>
      <c r="J29" s="256">
        <f t="shared" si="8"/>
        <v>0</v>
      </c>
      <c r="K29" s="9">
        <v>0</v>
      </c>
      <c r="L29" s="9">
        <f t="shared" si="9"/>
        <v>0</v>
      </c>
      <c r="M29" s="11" t="s">
        <v>73</v>
      </c>
      <c r="N29" s="9">
        <f t="shared" si="11"/>
        <v>0</v>
      </c>
      <c r="Y29" s="9">
        <f t="shared" si="12"/>
        <v>0</v>
      </c>
      <c r="Z29" s="9">
        <f t="shared" si="13"/>
        <v>0</v>
      </c>
      <c r="AA29" s="9">
        <f t="shared" si="14"/>
        <v>0</v>
      </c>
      <c r="AC29" s="14">
        <v>21</v>
      </c>
      <c r="AD29" s="14">
        <f>G29*0</f>
        <v>0</v>
      </c>
      <c r="AE29" s="14">
        <f>G29*(1-0)</f>
        <v>0</v>
      </c>
      <c r="AL29" s="14">
        <f t="shared" si="15"/>
        <v>0</v>
      </c>
      <c r="AM29" s="14">
        <f t="shared" si="10"/>
        <v>0</v>
      </c>
      <c r="AN29" s="15" t="s">
        <v>92</v>
      </c>
      <c r="AO29" s="15" t="s">
        <v>76</v>
      </c>
      <c r="AP29" s="25" t="s">
        <v>77</v>
      </c>
    </row>
    <row r="30" spans="1:43" x14ac:dyDescent="0.2">
      <c r="A30" s="215" t="s">
        <v>131</v>
      </c>
      <c r="B30" s="4"/>
      <c r="C30" s="4" t="s">
        <v>157</v>
      </c>
      <c r="D30" s="49" t="s">
        <v>309</v>
      </c>
      <c r="E30" s="4" t="s">
        <v>84</v>
      </c>
      <c r="F30" s="10">
        <v>19</v>
      </c>
      <c r="G30" s="10"/>
      <c r="H30" s="10"/>
      <c r="I30" s="10"/>
      <c r="J30" s="258">
        <f t="shared" si="8"/>
        <v>0</v>
      </c>
      <c r="K30" s="10">
        <v>0.6</v>
      </c>
      <c r="L30" s="10">
        <f t="shared" si="9"/>
        <v>11.4</v>
      </c>
      <c r="M30" s="12" t="s">
        <v>101</v>
      </c>
      <c r="N30" s="10">
        <f t="shared" si="11"/>
        <v>0</v>
      </c>
      <c r="Y30" s="10">
        <f t="shared" si="12"/>
        <v>0</v>
      </c>
      <c r="Z30" s="10">
        <f t="shared" si="13"/>
        <v>0</v>
      </c>
      <c r="AA30" s="10">
        <f t="shared" si="14"/>
        <v>0</v>
      </c>
      <c r="AC30" s="14">
        <v>21</v>
      </c>
      <c r="AD30" s="14">
        <f>G30*1</f>
        <v>0</v>
      </c>
      <c r="AE30" s="14">
        <f>G30*(1-1)</f>
        <v>0</v>
      </c>
      <c r="AL30" s="14">
        <f t="shared" si="15"/>
        <v>0</v>
      </c>
      <c r="AM30" s="14">
        <f t="shared" si="10"/>
        <v>0</v>
      </c>
      <c r="AN30" s="15" t="s">
        <v>92</v>
      </c>
      <c r="AO30" s="15" t="s">
        <v>76</v>
      </c>
      <c r="AP30" s="25" t="s">
        <v>77</v>
      </c>
    </row>
    <row r="31" spans="1:43" ht="24" x14ac:dyDescent="0.2">
      <c r="A31" s="215" t="s">
        <v>134</v>
      </c>
      <c r="B31" s="3"/>
      <c r="C31" s="3" t="s">
        <v>310</v>
      </c>
      <c r="D31" s="96" t="s">
        <v>311</v>
      </c>
      <c r="E31" s="3" t="s">
        <v>81</v>
      </c>
      <c r="F31" s="9">
        <v>24</v>
      </c>
      <c r="G31" s="9"/>
      <c r="H31" s="9"/>
      <c r="I31" s="9"/>
      <c r="J31" s="256">
        <f t="shared" si="8"/>
        <v>0</v>
      </c>
      <c r="K31" s="9">
        <v>0</v>
      </c>
      <c r="L31" s="9">
        <f t="shared" si="9"/>
        <v>0</v>
      </c>
      <c r="M31" s="11" t="s">
        <v>73</v>
      </c>
      <c r="N31" s="9">
        <f t="shared" si="11"/>
        <v>0</v>
      </c>
      <c r="Y31" s="9">
        <f t="shared" si="12"/>
        <v>0</v>
      </c>
      <c r="Z31" s="9">
        <f t="shared" si="13"/>
        <v>0</v>
      </c>
      <c r="AA31" s="9">
        <f t="shared" si="14"/>
        <v>0</v>
      </c>
      <c r="AC31" s="14">
        <v>21</v>
      </c>
      <c r="AD31" s="14">
        <f>G31*0</f>
        <v>0</v>
      </c>
      <c r="AE31" s="14">
        <f>G31*(1-0)</f>
        <v>0</v>
      </c>
      <c r="AL31" s="14">
        <f t="shared" si="15"/>
        <v>0</v>
      </c>
      <c r="AM31" s="14">
        <f t="shared" si="10"/>
        <v>0</v>
      </c>
      <c r="AN31" s="15" t="s">
        <v>92</v>
      </c>
      <c r="AO31" s="15" t="s">
        <v>76</v>
      </c>
      <c r="AP31" s="25" t="s">
        <v>77</v>
      </c>
    </row>
    <row r="32" spans="1:43" x14ac:dyDescent="0.2">
      <c r="A32" s="215" t="s">
        <v>137</v>
      </c>
      <c r="B32" s="4"/>
      <c r="C32" s="4" t="s">
        <v>122</v>
      </c>
      <c r="D32" s="49" t="s">
        <v>123</v>
      </c>
      <c r="E32" s="4" t="s">
        <v>84</v>
      </c>
      <c r="F32" s="10">
        <f>F31*0.2</f>
        <v>4.8000000000000007</v>
      </c>
      <c r="G32" s="10"/>
      <c r="H32" s="10"/>
      <c r="I32" s="10"/>
      <c r="J32" s="258">
        <f t="shared" si="8"/>
        <v>0</v>
      </c>
      <c r="K32" s="10">
        <v>0.6</v>
      </c>
      <c r="L32" s="10">
        <f t="shared" si="9"/>
        <v>2.8800000000000003</v>
      </c>
      <c r="M32" s="12" t="s">
        <v>101</v>
      </c>
      <c r="N32" s="10">
        <f t="shared" si="11"/>
        <v>0</v>
      </c>
      <c r="Y32" s="10">
        <f t="shared" si="12"/>
        <v>0</v>
      </c>
      <c r="Z32" s="10">
        <f t="shared" si="13"/>
        <v>0</v>
      </c>
      <c r="AA32" s="10">
        <f t="shared" si="14"/>
        <v>0</v>
      </c>
      <c r="AC32" s="14">
        <v>21</v>
      </c>
      <c r="AD32" s="14">
        <f>G32*1</f>
        <v>0</v>
      </c>
      <c r="AE32" s="14">
        <f>G32*(1-1)</f>
        <v>0</v>
      </c>
      <c r="AL32" s="14">
        <f t="shared" si="15"/>
        <v>0</v>
      </c>
      <c r="AM32" s="14">
        <f t="shared" si="10"/>
        <v>0</v>
      </c>
      <c r="AN32" s="15" t="s">
        <v>92</v>
      </c>
      <c r="AO32" s="15" t="s">
        <v>76</v>
      </c>
      <c r="AP32" s="25" t="s">
        <v>77</v>
      </c>
    </row>
    <row r="33" spans="1:42" x14ac:dyDescent="0.2">
      <c r="A33" s="215" t="s">
        <v>141</v>
      </c>
      <c r="B33" s="3"/>
      <c r="C33" s="3" t="s">
        <v>125</v>
      </c>
      <c r="D33" s="49" t="s">
        <v>126</v>
      </c>
      <c r="E33" s="3" t="s">
        <v>81</v>
      </c>
      <c r="F33" s="9">
        <f>F31</f>
        <v>24</v>
      </c>
      <c r="G33" s="9"/>
      <c r="H33" s="9"/>
      <c r="I33" s="9"/>
      <c r="J33" s="256">
        <f t="shared" si="8"/>
        <v>0</v>
      </c>
      <c r="K33" s="9">
        <v>0</v>
      </c>
      <c r="L33" s="9">
        <f t="shared" si="9"/>
        <v>0</v>
      </c>
      <c r="M33" s="11" t="s">
        <v>73</v>
      </c>
      <c r="N33" s="9">
        <f t="shared" si="11"/>
        <v>0</v>
      </c>
      <c r="Y33" s="9">
        <f t="shared" si="12"/>
        <v>0</v>
      </c>
      <c r="Z33" s="9">
        <f t="shared" si="13"/>
        <v>0</v>
      </c>
      <c r="AA33" s="9">
        <f t="shared" si="14"/>
        <v>0</v>
      </c>
      <c r="AC33" s="14">
        <v>21</v>
      </c>
      <c r="AD33" s="14">
        <f>G33*0.00495279593318809</f>
        <v>0</v>
      </c>
      <c r="AE33" s="14">
        <f>G33*(1-0.00495279593318809)</f>
        <v>0</v>
      </c>
      <c r="AL33" s="14">
        <f t="shared" si="15"/>
        <v>0</v>
      </c>
      <c r="AM33" s="14">
        <f t="shared" si="10"/>
        <v>0</v>
      </c>
      <c r="AN33" s="15" t="s">
        <v>92</v>
      </c>
      <c r="AO33" s="15" t="s">
        <v>76</v>
      </c>
      <c r="AP33" s="25" t="s">
        <v>77</v>
      </c>
    </row>
    <row r="34" spans="1:42" x14ac:dyDescent="0.2">
      <c r="A34" s="215" t="s">
        <v>144</v>
      </c>
      <c r="B34" s="4"/>
      <c r="C34" s="4"/>
      <c r="D34" s="49" t="s">
        <v>312</v>
      </c>
      <c r="E34" s="4" t="s">
        <v>130</v>
      </c>
      <c r="F34" s="10">
        <v>1</v>
      </c>
      <c r="G34" s="10"/>
      <c r="H34" s="10"/>
      <c r="I34" s="10"/>
      <c r="J34" s="258">
        <f t="shared" si="8"/>
        <v>0</v>
      </c>
      <c r="K34" s="10">
        <v>8.0000000000000002E-3</v>
      </c>
      <c r="L34" s="10">
        <f t="shared" si="9"/>
        <v>8.0000000000000002E-3</v>
      </c>
      <c r="M34" s="12" t="s">
        <v>101</v>
      </c>
      <c r="N34" s="10">
        <f t="shared" si="11"/>
        <v>0</v>
      </c>
      <c r="Y34" s="10">
        <f t="shared" si="12"/>
        <v>0</v>
      </c>
      <c r="Z34" s="10">
        <f t="shared" si="13"/>
        <v>0</v>
      </c>
      <c r="AA34" s="10">
        <f t="shared" si="14"/>
        <v>0</v>
      </c>
      <c r="AC34" s="14">
        <v>21</v>
      </c>
      <c r="AD34" s="14">
        <f t="shared" ref="AD34:AD39" si="16">G34*1</f>
        <v>0</v>
      </c>
      <c r="AE34" s="14">
        <f t="shared" ref="AE34:AE39" si="17">G34*(1-1)</f>
        <v>0</v>
      </c>
      <c r="AL34" s="14">
        <f t="shared" si="15"/>
        <v>0</v>
      </c>
      <c r="AM34" s="14">
        <f t="shared" si="10"/>
        <v>0</v>
      </c>
      <c r="AN34" s="15" t="s">
        <v>92</v>
      </c>
      <c r="AO34" s="15" t="s">
        <v>76</v>
      </c>
      <c r="AP34" s="25" t="s">
        <v>77</v>
      </c>
    </row>
    <row r="35" spans="1:42" ht="24" x14ac:dyDescent="0.2">
      <c r="A35" s="215" t="s">
        <v>147</v>
      </c>
      <c r="B35" s="4"/>
      <c r="C35" s="4"/>
      <c r="D35" s="49" t="s">
        <v>313</v>
      </c>
      <c r="E35" s="4" t="s">
        <v>130</v>
      </c>
      <c r="F35" s="10">
        <v>5</v>
      </c>
      <c r="G35" s="10"/>
      <c r="H35" s="10"/>
      <c r="I35" s="10"/>
      <c r="J35" s="258">
        <f t="shared" si="8"/>
        <v>0</v>
      </c>
      <c r="K35" s="10">
        <v>8.0000000000000002E-3</v>
      </c>
      <c r="L35" s="10">
        <f t="shared" si="9"/>
        <v>0.04</v>
      </c>
      <c r="M35" s="12" t="s">
        <v>101</v>
      </c>
      <c r="N35" s="10">
        <f t="shared" si="11"/>
        <v>0</v>
      </c>
      <c r="Y35" s="10">
        <f t="shared" si="12"/>
        <v>0</v>
      </c>
      <c r="Z35" s="10">
        <f t="shared" si="13"/>
        <v>0</v>
      </c>
      <c r="AA35" s="10">
        <f t="shared" si="14"/>
        <v>0</v>
      </c>
      <c r="AC35" s="14">
        <v>21</v>
      </c>
      <c r="AD35" s="14">
        <f t="shared" si="16"/>
        <v>0</v>
      </c>
      <c r="AE35" s="14">
        <f t="shared" si="17"/>
        <v>0</v>
      </c>
      <c r="AL35" s="14">
        <f t="shared" si="15"/>
        <v>0</v>
      </c>
      <c r="AM35" s="14">
        <f t="shared" si="10"/>
        <v>0</v>
      </c>
      <c r="AN35" s="15" t="s">
        <v>92</v>
      </c>
      <c r="AO35" s="15" t="s">
        <v>76</v>
      </c>
      <c r="AP35" s="25" t="s">
        <v>77</v>
      </c>
    </row>
    <row r="36" spans="1:42" x14ac:dyDescent="0.2">
      <c r="A36" s="215" t="s">
        <v>150</v>
      </c>
      <c r="B36" s="4"/>
      <c r="C36" s="4"/>
      <c r="D36" s="49" t="s">
        <v>314</v>
      </c>
      <c r="E36" s="4" t="s">
        <v>130</v>
      </c>
      <c r="F36" s="10">
        <v>3</v>
      </c>
      <c r="G36" s="10"/>
      <c r="H36" s="10"/>
      <c r="I36" s="10"/>
      <c r="J36" s="258">
        <f t="shared" si="8"/>
        <v>0</v>
      </c>
      <c r="K36" s="10">
        <v>8.0000000000000002E-3</v>
      </c>
      <c r="L36" s="10">
        <f t="shared" si="9"/>
        <v>2.4E-2</v>
      </c>
      <c r="M36" s="12" t="s">
        <v>101</v>
      </c>
      <c r="N36" s="10">
        <f t="shared" si="11"/>
        <v>0</v>
      </c>
      <c r="Y36" s="10">
        <f t="shared" si="12"/>
        <v>0</v>
      </c>
      <c r="Z36" s="10">
        <f t="shared" si="13"/>
        <v>0</v>
      </c>
      <c r="AA36" s="10">
        <f t="shared" si="14"/>
        <v>0</v>
      </c>
      <c r="AC36" s="14">
        <v>21</v>
      </c>
      <c r="AD36" s="14">
        <f t="shared" si="16"/>
        <v>0</v>
      </c>
      <c r="AE36" s="14">
        <f t="shared" si="17"/>
        <v>0</v>
      </c>
      <c r="AL36" s="14">
        <f t="shared" si="15"/>
        <v>0</v>
      </c>
      <c r="AM36" s="14">
        <f t="shared" si="10"/>
        <v>0</v>
      </c>
      <c r="AN36" s="15" t="s">
        <v>92</v>
      </c>
      <c r="AO36" s="15" t="s">
        <v>76</v>
      </c>
      <c r="AP36" s="25" t="s">
        <v>77</v>
      </c>
    </row>
    <row r="37" spans="1:42" x14ac:dyDescent="0.2">
      <c r="A37" s="215" t="s">
        <v>153</v>
      </c>
      <c r="B37" s="4"/>
      <c r="C37" s="4"/>
      <c r="D37" s="49" t="s">
        <v>315</v>
      </c>
      <c r="E37" s="4" t="s">
        <v>130</v>
      </c>
      <c r="F37" s="10">
        <v>6</v>
      </c>
      <c r="G37" s="10"/>
      <c r="H37" s="10"/>
      <c r="I37" s="10"/>
      <c r="J37" s="258">
        <f t="shared" si="8"/>
        <v>0</v>
      </c>
      <c r="K37" s="10">
        <v>8.0000000000000002E-3</v>
      </c>
      <c r="L37" s="10">
        <f t="shared" si="9"/>
        <v>4.8000000000000001E-2</v>
      </c>
      <c r="M37" s="12" t="s">
        <v>101</v>
      </c>
      <c r="N37" s="10">
        <f t="shared" si="11"/>
        <v>0</v>
      </c>
      <c r="Y37" s="10">
        <f t="shared" si="12"/>
        <v>0</v>
      </c>
      <c r="Z37" s="10">
        <f t="shared" si="13"/>
        <v>0</v>
      </c>
      <c r="AA37" s="10">
        <f t="shared" si="14"/>
        <v>0</v>
      </c>
      <c r="AC37" s="14">
        <v>21</v>
      </c>
      <c r="AD37" s="14">
        <f t="shared" si="16"/>
        <v>0</v>
      </c>
      <c r="AE37" s="14">
        <f t="shared" si="17"/>
        <v>0</v>
      </c>
      <c r="AL37" s="14">
        <f t="shared" si="15"/>
        <v>0</v>
      </c>
      <c r="AM37" s="14">
        <f t="shared" si="10"/>
        <v>0</v>
      </c>
      <c r="AN37" s="15" t="s">
        <v>92</v>
      </c>
      <c r="AO37" s="15" t="s">
        <v>76</v>
      </c>
      <c r="AP37" s="25" t="s">
        <v>77</v>
      </c>
    </row>
    <row r="38" spans="1:42" x14ac:dyDescent="0.2">
      <c r="A38" s="215" t="s">
        <v>156</v>
      </c>
      <c r="B38" s="4"/>
      <c r="C38" s="4"/>
      <c r="D38" s="49" t="s">
        <v>316</v>
      </c>
      <c r="E38" s="4" t="s">
        <v>130</v>
      </c>
      <c r="F38" s="10">
        <v>5</v>
      </c>
      <c r="G38" s="10"/>
      <c r="H38" s="10"/>
      <c r="I38" s="10"/>
      <c r="J38" s="258">
        <f t="shared" si="8"/>
        <v>0</v>
      </c>
      <c r="K38" s="10">
        <v>8.0000000000000002E-3</v>
      </c>
      <c r="L38" s="10">
        <f t="shared" si="9"/>
        <v>0.04</v>
      </c>
      <c r="M38" s="12" t="s">
        <v>101</v>
      </c>
      <c r="N38" s="10">
        <f t="shared" si="11"/>
        <v>0</v>
      </c>
      <c r="Y38" s="10">
        <f t="shared" si="12"/>
        <v>0</v>
      </c>
      <c r="Z38" s="10">
        <f t="shared" si="13"/>
        <v>0</v>
      </c>
      <c r="AA38" s="10">
        <f t="shared" si="14"/>
        <v>0</v>
      </c>
      <c r="AC38" s="14">
        <v>21</v>
      </c>
      <c r="AD38" s="14">
        <f t="shared" si="16"/>
        <v>0</v>
      </c>
      <c r="AE38" s="14">
        <f t="shared" si="17"/>
        <v>0</v>
      </c>
      <c r="AL38" s="14">
        <f t="shared" si="15"/>
        <v>0</v>
      </c>
      <c r="AM38" s="14">
        <f t="shared" si="10"/>
        <v>0</v>
      </c>
      <c r="AN38" s="15" t="s">
        <v>92</v>
      </c>
      <c r="AO38" s="15" t="s">
        <v>76</v>
      </c>
      <c r="AP38" s="25" t="s">
        <v>77</v>
      </c>
    </row>
    <row r="39" spans="1:42" x14ac:dyDescent="0.2">
      <c r="A39" s="215" t="s">
        <v>158</v>
      </c>
      <c r="B39" s="4"/>
      <c r="C39" s="4"/>
      <c r="D39" s="49" t="s">
        <v>317</v>
      </c>
      <c r="E39" s="4" t="s">
        <v>130</v>
      </c>
      <c r="F39" s="10">
        <v>4</v>
      </c>
      <c r="G39" s="10"/>
      <c r="H39" s="10"/>
      <c r="I39" s="10"/>
      <c r="J39" s="258">
        <f t="shared" si="8"/>
        <v>0</v>
      </c>
      <c r="K39" s="10">
        <v>8.0000000000000002E-3</v>
      </c>
      <c r="L39" s="10">
        <f t="shared" si="9"/>
        <v>3.2000000000000001E-2</v>
      </c>
      <c r="M39" s="12" t="s">
        <v>101</v>
      </c>
      <c r="N39" s="10">
        <f t="shared" si="11"/>
        <v>0</v>
      </c>
      <c r="Y39" s="10">
        <f t="shared" si="12"/>
        <v>0</v>
      </c>
      <c r="Z39" s="10">
        <f t="shared" si="13"/>
        <v>0</v>
      </c>
      <c r="AA39" s="10">
        <f t="shared" si="14"/>
        <v>0</v>
      </c>
      <c r="AC39" s="14">
        <v>21</v>
      </c>
      <c r="AD39" s="14">
        <f t="shared" si="16"/>
        <v>0</v>
      </c>
      <c r="AE39" s="14">
        <f t="shared" si="17"/>
        <v>0</v>
      </c>
      <c r="AL39" s="14">
        <f t="shared" si="15"/>
        <v>0</v>
      </c>
      <c r="AM39" s="14">
        <f t="shared" si="10"/>
        <v>0</v>
      </c>
      <c r="AN39" s="15" t="s">
        <v>92</v>
      </c>
      <c r="AO39" s="15" t="s">
        <v>76</v>
      </c>
      <c r="AP39" s="25" t="s">
        <v>77</v>
      </c>
    </row>
    <row r="40" spans="1:42" x14ac:dyDescent="0.2">
      <c r="A40" s="215" t="s">
        <v>161</v>
      </c>
      <c r="B40" s="3"/>
      <c r="C40" s="3" t="s">
        <v>135</v>
      </c>
      <c r="D40" s="49" t="s">
        <v>136</v>
      </c>
      <c r="E40" s="3" t="s">
        <v>81</v>
      </c>
      <c r="F40" s="9">
        <f>SUM(F34:F39)</f>
        <v>24</v>
      </c>
      <c r="G40" s="9"/>
      <c r="H40" s="9"/>
      <c r="I40" s="9"/>
      <c r="J40" s="256">
        <f t="shared" si="8"/>
        <v>0</v>
      </c>
      <c r="K40" s="9">
        <v>5.5999999999999995E-4</v>
      </c>
      <c r="L40" s="9">
        <f t="shared" si="9"/>
        <v>1.3439999999999999E-2</v>
      </c>
      <c r="M40" s="11" t="s">
        <v>73</v>
      </c>
      <c r="N40" s="9">
        <f t="shared" si="11"/>
        <v>0</v>
      </c>
      <c r="Y40" s="9">
        <f t="shared" si="12"/>
        <v>0</v>
      </c>
      <c r="Z40" s="9">
        <f t="shared" si="13"/>
        <v>0</v>
      </c>
      <c r="AA40" s="9">
        <f t="shared" si="14"/>
        <v>0</v>
      </c>
      <c r="AC40" s="14">
        <v>21</v>
      </c>
      <c r="AD40" s="14">
        <f>G40*0.143789157562264</f>
        <v>0</v>
      </c>
      <c r="AE40" s="14">
        <f>G40*(1-0.143789157562264)</f>
        <v>0</v>
      </c>
      <c r="AL40" s="14">
        <f t="shared" si="15"/>
        <v>0</v>
      </c>
      <c r="AM40" s="14">
        <f t="shared" si="10"/>
        <v>0</v>
      </c>
      <c r="AN40" s="15" t="s">
        <v>92</v>
      </c>
      <c r="AO40" s="15" t="s">
        <v>76</v>
      </c>
      <c r="AP40" s="25" t="s">
        <v>77</v>
      </c>
    </row>
    <row r="41" spans="1:42" x14ac:dyDescent="0.2">
      <c r="A41" s="215" t="s">
        <v>163</v>
      </c>
      <c r="B41" s="4"/>
      <c r="C41" s="4" t="s">
        <v>138</v>
      </c>
      <c r="D41" s="49" t="s">
        <v>139</v>
      </c>
      <c r="E41" s="4" t="s">
        <v>140</v>
      </c>
      <c r="F41" s="10">
        <f>F40*1.5</f>
        <v>36</v>
      </c>
      <c r="G41" s="10"/>
      <c r="H41" s="10"/>
      <c r="I41" s="10"/>
      <c r="J41" s="258">
        <f t="shared" si="8"/>
        <v>0</v>
      </c>
      <c r="K41" s="10">
        <v>2.0000000000000002E-5</v>
      </c>
      <c r="L41" s="10">
        <f t="shared" si="9"/>
        <v>7.2000000000000005E-4</v>
      </c>
      <c r="M41" s="12" t="s">
        <v>101</v>
      </c>
      <c r="N41" s="10">
        <f t="shared" si="11"/>
        <v>0</v>
      </c>
      <c r="Y41" s="10">
        <f t="shared" si="12"/>
        <v>0</v>
      </c>
      <c r="Z41" s="10">
        <f t="shared" si="13"/>
        <v>0</v>
      </c>
      <c r="AA41" s="10">
        <f t="shared" si="14"/>
        <v>0</v>
      </c>
      <c r="AC41" s="14">
        <v>21</v>
      </c>
      <c r="AD41" s="14">
        <f>G41*1</f>
        <v>0</v>
      </c>
      <c r="AE41" s="14">
        <f>G41*(1-1)</f>
        <v>0</v>
      </c>
      <c r="AL41" s="14">
        <f t="shared" si="15"/>
        <v>0</v>
      </c>
      <c r="AM41" s="14">
        <f t="shared" si="10"/>
        <v>0</v>
      </c>
      <c r="AN41" s="15" t="s">
        <v>92</v>
      </c>
      <c r="AO41" s="15" t="s">
        <v>76</v>
      </c>
      <c r="AP41" s="25" t="s">
        <v>77</v>
      </c>
    </row>
    <row r="42" spans="1:42" x14ac:dyDescent="0.2">
      <c r="A42" s="215" t="s">
        <v>166</v>
      </c>
      <c r="B42" s="4"/>
      <c r="C42" s="4" t="s">
        <v>142</v>
      </c>
      <c r="D42" s="49" t="s">
        <v>143</v>
      </c>
      <c r="E42" s="4" t="s">
        <v>81</v>
      </c>
      <c r="F42" s="10">
        <f>F40*3</f>
        <v>72</v>
      </c>
      <c r="G42" s="10"/>
      <c r="H42" s="10"/>
      <c r="I42" s="10"/>
      <c r="J42" s="258">
        <f t="shared" si="8"/>
        <v>0</v>
      </c>
      <c r="K42" s="10">
        <v>2E-3</v>
      </c>
      <c r="L42" s="10">
        <f t="shared" si="9"/>
        <v>0.14400000000000002</v>
      </c>
      <c r="M42" s="12" t="s">
        <v>101</v>
      </c>
      <c r="N42" s="10">
        <f t="shared" si="11"/>
        <v>0</v>
      </c>
      <c r="Y42" s="10">
        <f t="shared" si="12"/>
        <v>0</v>
      </c>
      <c r="Z42" s="10">
        <f t="shared" si="13"/>
        <v>0</v>
      </c>
      <c r="AA42" s="10">
        <f t="shared" si="14"/>
        <v>0</v>
      </c>
      <c r="AC42" s="14">
        <v>21</v>
      </c>
      <c r="AD42" s="14">
        <f>G42*1</f>
        <v>0</v>
      </c>
      <c r="AE42" s="14">
        <f>G42*(1-1)</f>
        <v>0</v>
      </c>
      <c r="AL42" s="14">
        <f t="shared" si="15"/>
        <v>0</v>
      </c>
      <c r="AM42" s="14">
        <f t="shared" si="10"/>
        <v>0</v>
      </c>
      <c r="AN42" s="15" t="s">
        <v>92</v>
      </c>
      <c r="AO42" s="15" t="s">
        <v>76</v>
      </c>
      <c r="AP42" s="25" t="s">
        <v>77</v>
      </c>
    </row>
    <row r="43" spans="1:42" x14ac:dyDescent="0.2">
      <c r="A43" s="215" t="s">
        <v>168</v>
      </c>
      <c r="B43" s="4"/>
      <c r="C43" s="4" t="s">
        <v>145</v>
      </c>
      <c r="D43" s="49" t="s">
        <v>146</v>
      </c>
      <c r="E43" s="4" t="s">
        <v>81</v>
      </c>
      <c r="F43" s="10">
        <f>F42</f>
        <v>72</v>
      </c>
      <c r="G43" s="10"/>
      <c r="H43" s="10"/>
      <c r="I43" s="10"/>
      <c r="J43" s="258">
        <f t="shared" si="8"/>
        <v>0</v>
      </c>
      <c r="K43" s="10">
        <v>6.0000000000000001E-3</v>
      </c>
      <c r="L43" s="10">
        <f t="shared" si="9"/>
        <v>0.432</v>
      </c>
      <c r="M43" s="12" t="s">
        <v>101</v>
      </c>
      <c r="N43" s="10">
        <f t="shared" si="11"/>
        <v>0</v>
      </c>
      <c r="Y43" s="10">
        <f t="shared" si="12"/>
        <v>0</v>
      </c>
      <c r="Z43" s="10">
        <f t="shared" si="13"/>
        <v>0</v>
      </c>
      <c r="AA43" s="10">
        <f t="shared" si="14"/>
        <v>0</v>
      </c>
      <c r="AC43" s="14">
        <v>21</v>
      </c>
      <c r="AD43" s="14">
        <f>G43*1</f>
        <v>0</v>
      </c>
      <c r="AE43" s="14">
        <f>G43*(1-1)</f>
        <v>0</v>
      </c>
      <c r="AL43" s="14">
        <f t="shared" si="15"/>
        <v>0</v>
      </c>
      <c r="AM43" s="14">
        <f t="shared" si="10"/>
        <v>0</v>
      </c>
      <c r="AN43" s="15" t="s">
        <v>92</v>
      </c>
      <c r="AO43" s="15" t="s">
        <v>76</v>
      </c>
      <c r="AP43" s="25" t="s">
        <v>77</v>
      </c>
    </row>
    <row r="44" spans="1:42" x14ac:dyDescent="0.2">
      <c r="A44" s="215" t="s">
        <v>171</v>
      </c>
      <c r="B44" s="3"/>
      <c r="C44" s="3" t="s">
        <v>148</v>
      </c>
      <c r="D44" s="49" t="s">
        <v>149</v>
      </c>
      <c r="E44" s="3" t="s">
        <v>74</v>
      </c>
      <c r="F44" s="9">
        <v>8.16</v>
      </c>
      <c r="G44" s="9"/>
      <c r="H44" s="9"/>
      <c r="I44" s="9"/>
      <c r="J44" s="256">
        <f t="shared" si="8"/>
        <v>0</v>
      </c>
      <c r="K44" s="9">
        <v>2.4000000000000001E-4</v>
      </c>
      <c r="L44" s="9">
        <f t="shared" si="9"/>
        <v>1.9583999999999999E-3</v>
      </c>
      <c r="M44" s="11" t="s">
        <v>73</v>
      </c>
      <c r="N44" s="9">
        <f t="shared" si="11"/>
        <v>0</v>
      </c>
      <c r="Y44" s="9">
        <f t="shared" si="12"/>
        <v>0</v>
      </c>
      <c r="Z44" s="9">
        <f t="shared" si="13"/>
        <v>0</v>
      </c>
      <c r="AA44" s="9">
        <f t="shared" si="14"/>
        <v>0</v>
      </c>
      <c r="AC44" s="14">
        <v>21</v>
      </c>
      <c r="AD44" s="14">
        <f>G44*0.460337768679631</f>
        <v>0</v>
      </c>
      <c r="AE44" s="14">
        <f>G44*(1-0.460337768679631)</f>
        <v>0</v>
      </c>
      <c r="AL44" s="14">
        <f t="shared" si="15"/>
        <v>0</v>
      </c>
      <c r="AM44" s="14">
        <f t="shared" si="10"/>
        <v>0</v>
      </c>
      <c r="AN44" s="15" t="s">
        <v>92</v>
      </c>
      <c r="AO44" s="15" t="s">
        <v>76</v>
      </c>
      <c r="AP44" s="25" t="s">
        <v>77</v>
      </c>
    </row>
    <row r="45" spans="1:42" x14ac:dyDescent="0.2">
      <c r="A45" s="215" t="s">
        <v>173</v>
      </c>
      <c r="B45" s="4"/>
      <c r="C45" s="4" t="s">
        <v>151</v>
      </c>
      <c r="D45" s="49" t="s">
        <v>152</v>
      </c>
      <c r="E45" s="4" t="s">
        <v>74</v>
      </c>
      <c r="F45" s="10">
        <v>8.16</v>
      </c>
      <c r="G45" s="10"/>
      <c r="H45" s="10"/>
      <c r="I45" s="10"/>
      <c r="J45" s="258">
        <f t="shared" si="8"/>
        <v>0</v>
      </c>
      <c r="K45" s="10">
        <v>1E-4</v>
      </c>
      <c r="L45" s="10">
        <f t="shared" si="9"/>
        <v>8.160000000000001E-4</v>
      </c>
      <c r="M45" s="12" t="s">
        <v>101</v>
      </c>
      <c r="N45" s="10">
        <f t="shared" si="11"/>
        <v>0</v>
      </c>
      <c r="Y45" s="10">
        <f t="shared" si="12"/>
        <v>0</v>
      </c>
      <c r="Z45" s="10">
        <f t="shared" si="13"/>
        <v>0</v>
      </c>
      <c r="AA45" s="10">
        <f t="shared" si="14"/>
        <v>0</v>
      </c>
      <c r="AC45" s="14">
        <v>21</v>
      </c>
      <c r="AD45" s="14">
        <f>G45*1</f>
        <v>0</v>
      </c>
      <c r="AE45" s="14">
        <f>G45*(1-1)</f>
        <v>0</v>
      </c>
      <c r="AL45" s="14">
        <f t="shared" si="15"/>
        <v>0</v>
      </c>
      <c r="AM45" s="14">
        <f t="shared" si="10"/>
        <v>0</v>
      </c>
      <c r="AN45" s="15" t="s">
        <v>92</v>
      </c>
      <c r="AO45" s="15" t="s">
        <v>76</v>
      </c>
      <c r="AP45" s="25" t="s">
        <v>77</v>
      </c>
    </row>
    <row r="46" spans="1:42" x14ac:dyDescent="0.2">
      <c r="A46" s="215" t="s">
        <v>175</v>
      </c>
      <c r="B46" s="3"/>
      <c r="C46" s="3" t="s">
        <v>159</v>
      </c>
      <c r="D46" s="49" t="s">
        <v>162</v>
      </c>
      <c r="E46" s="3" t="s">
        <v>81</v>
      </c>
      <c r="F46" s="9">
        <f>F49</f>
        <v>170</v>
      </c>
      <c r="G46" s="9"/>
      <c r="H46" s="9"/>
      <c r="I46" s="9"/>
      <c r="J46" s="256">
        <f t="shared" si="8"/>
        <v>0</v>
      </c>
      <c r="K46" s="9">
        <v>0</v>
      </c>
      <c r="L46" s="9">
        <f t="shared" si="9"/>
        <v>0</v>
      </c>
      <c r="M46" s="11" t="s">
        <v>73</v>
      </c>
      <c r="N46" s="9">
        <f t="shared" si="11"/>
        <v>0</v>
      </c>
      <c r="Y46" s="9">
        <f t="shared" si="12"/>
        <v>0</v>
      </c>
      <c r="Z46" s="9">
        <f t="shared" si="13"/>
        <v>0</v>
      </c>
      <c r="AA46" s="9">
        <f t="shared" si="14"/>
        <v>0</v>
      </c>
      <c r="AC46" s="14">
        <v>21</v>
      </c>
      <c r="AD46" s="14">
        <f>G46*0</f>
        <v>0</v>
      </c>
      <c r="AE46" s="14">
        <f>G46*(1-0)</f>
        <v>0</v>
      </c>
      <c r="AL46" s="14">
        <f t="shared" si="15"/>
        <v>0</v>
      </c>
      <c r="AM46" s="14">
        <f t="shared" si="10"/>
        <v>0</v>
      </c>
      <c r="AN46" s="15" t="s">
        <v>92</v>
      </c>
      <c r="AO46" s="15" t="s">
        <v>76</v>
      </c>
      <c r="AP46" s="25" t="s">
        <v>77</v>
      </c>
    </row>
    <row r="47" spans="1:42" x14ac:dyDescent="0.2">
      <c r="A47" s="215" t="s">
        <v>177</v>
      </c>
      <c r="B47" s="3"/>
      <c r="C47" s="3" t="s">
        <v>164</v>
      </c>
      <c r="D47" s="49" t="s">
        <v>167</v>
      </c>
      <c r="E47" s="3" t="s">
        <v>81</v>
      </c>
      <c r="F47" s="9">
        <f>F50</f>
        <v>951</v>
      </c>
      <c r="G47" s="9"/>
      <c r="H47" s="9"/>
      <c r="I47" s="9"/>
      <c r="J47" s="256">
        <f t="shared" si="8"/>
        <v>0</v>
      </c>
      <c r="K47" s="9">
        <v>0</v>
      </c>
      <c r="L47" s="9">
        <f t="shared" si="9"/>
        <v>0</v>
      </c>
      <c r="M47" s="11" t="s">
        <v>73</v>
      </c>
      <c r="N47" s="9">
        <f t="shared" si="11"/>
        <v>0</v>
      </c>
      <c r="Y47" s="9">
        <f t="shared" si="12"/>
        <v>0</v>
      </c>
      <c r="Z47" s="9">
        <f t="shared" si="13"/>
        <v>0</v>
      </c>
      <c r="AA47" s="9">
        <f t="shared" si="14"/>
        <v>0</v>
      </c>
      <c r="AC47" s="14">
        <v>21</v>
      </c>
      <c r="AD47" s="14">
        <f>G47*0</f>
        <v>0</v>
      </c>
      <c r="AE47" s="14">
        <f>G47*(1-0)</f>
        <v>0</v>
      </c>
      <c r="AL47" s="14">
        <f t="shared" si="15"/>
        <v>0</v>
      </c>
      <c r="AM47" s="14">
        <f t="shared" si="10"/>
        <v>0</v>
      </c>
      <c r="AN47" s="15" t="s">
        <v>92</v>
      </c>
      <c r="AO47" s="15" t="s">
        <v>76</v>
      </c>
      <c r="AP47" s="25" t="s">
        <v>77</v>
      </c>
    </row>
    <row r="48" spans="1:42" x14ac:dyDescent="0.2">
      <c r="A48" s="215" t="s">
        <v>179</v>
      </c>
      <c r="B48" s="3"/>
      <c r="C48" s="3" t="s">
        <v>185</v>
      </c>
      <c r="D48" s="49" t="s">
        <v>186</v>
      </c>
      <c r="E48" s="3" t="s">
        <v>81</v>
      </c>
      <c r="F48" s="9">
        <f>F49</f>
        <v>170</v>
      </c>
      <c r="G48" s="9"/>
      <c r="H48" s="9"/>
      <c r="I48" s="9"/>
      <c r="J48" s="256">
        <f t="shared" si="8"/>
        <v>0</v>
      </c>
      <c r="K48" s="9">
        <v>0</v>
      </c>
      <c r="L48" s="9">
        <f t="shared" si="9"/>
        <v>0</v>
      </c>
      <c r="M48" s="11" t="s">
        <v>73</v>
      </c>
      <c r="N48" s="9">
        <f t="shared" si="11"/>
        <v>0</v>
      </c>
      <c r="Y48" s="9">
        <f t="shared" si="12"/>
        <v>0</v>
      </c>
      <c r="Z48" s="9">
        <f t="shared" si="13"/>
        <v>0</v>
      </c>
      <c r="AA48" s="9">
        <f t="shared" si="14"/>
        <v>0</v>
      </c>
      <c r="AC48" s="14">
        <v>21</v>
      </c>
      <c r="AD48" s="14">
        <f>G48*0.0215646940822467</f>
        <v>0</v>
      </c>
      <c r="AE48" s="14">
        <f>G48*(1-0.0215646940822467)</f>
        <v>0</v>
      </c>
      <c r="AL48" s="14">
        <f t="shared" si="15"/>
        <v>0</v>
      </c>
      <c r="AM48" s="14">
        <f t="shared" si="10"/>
        <v>0</v>
      </c>
      <c r="AN48" s="15" t="s">
        <v>92</v>
      </c>
      <c r="AO48" s="15" t="s">
        <v>76</v>
      </c>
      <c r="AP48" s="25" t="s">
        <v>77</v>
      </c>
    </row>
    <row r="49" spans="1:42" x14ac:dyDescent="0.2">
      <c r="A49" s="215" t="s">
        <v>182</v>
      </c>
      <c r="B49" s="4"/>
      <c r="C49" s="4"/>
      <c r="D49" s="49" t="s">
        <v>190</v>
      </c>
      <c r="E49" s="4" t="s">
        <v>130</v>
      </c>
      <c r="F49" s="10">
        <v>170</v>
      </c>
      <c r="G49" s="10"/>
      <c r="H49" s="10"/>
      <c r="I49" s="10"/>
      <c r="J49" s="258">
        <f t="shared" si="8"/>
        <v>0</v>
      </c>
      <c r="K49" s="10">
        <v>0</v>
      </c>
      <c r="L49" s="10">
        <f t="shared" si="9"/>
        <v>0</v>
      </c>
      <c r="M49" s="12" t="s">
        <v>101</v>
      </c>
      <c r="N49" s="10">
        <f t="shared" si="11"/>
        <v>0</v>
      </c>
      <c r="Y49" s="10">
        <f t="shared" si="12"/>
        <v>0</v>
      </c>
      <c r="Z49" s="10">
        <f t="shared" si="13"/>
        <v>0</v>
      </c>
      <c r="AA49" s="10">
        <f t="shared" si="14"/>
        <v>0</v>
      </c>
      <c r="AC49" s="14">
        <v>21</v>
      </c>
      <c r="AD49" s="14">
        <f>G49*1</f>
        <v>0</v>
      </c>
      <c r="AE49" s="14">
        <f>G49*(1-1)</f>
        <v>0</v>
      </c>
      <c r="AL49" s="14">
        <f t="shared" si="15"/>
        <v>0</v>
      </c>
      <c r="AM49" s="14">
        <f t="shared" si="10"/>
        <v>0</v>
      </c>
      <c r="AN49" s="15" t="s">
        <v>92</v>
      </c>
      <c r="AO49" s="15" t="s">
        <v>76</v>
      </c>
      <c r="AP49" s="25" t="s">
        <v>77</v>
      </c>
    </row>
    <row r="50" spans="1:42" x14ac:dyDescent="0.2">
      <c r="A50" s="215" t="s">
        <v>184</v>
      </c>
      <c r="B50" s="3"/>
      <c r="C50" s="3" t="s">
        <v>192</v>
      </c>
      <c r="D50" s="49" t="s">
        <v>193</v>
      </c>
      <c r="E50" s="3" t="s">
        <v>81</v>
      </c>
      <c r="F50" s="9">
        <f>SUM(F51:F68)</f>
        <v>951</v>
      </c>
      <c r="G50" s="9"/>
      <c r="H50" s="9"/>
      <c r="I50" s="9"/>
      <c r="J50" s="256">
        <f t="shared" si="8"/>
        <v>0</v>
      </c>
      <c r="K50" s="9">
        <v>0</v>
      </c>
      <c r="L50" s="9">
        <f t="shared" si="9"/>
        <v>0</v>
      </c>
      <c r="M50" s="11" t="s">
        <v>73</v>
      </c>
      <c r="N50" s="9">
        <f t="shared" si="11"/>
        <v>0</v>
      </c>
      <c r="Y50" s="9">
        <f t="shared" si="12"/>
        <v>0</v>
      </c>
      <c r="Z50" s="9">
        <f t="shared" si="13"/>
        <v>0</v>
      </c>
      <c r="AA50" s="9">
        <f t="shared" si="14"/>
        <v>0</v>
      </c>
      <c r="AC50" s="14">
        <v>21</v>
      </c>
      <c r="AD50" s="14">
        <f>G50*0.0162617180026784</f>
        <v>0</v>
      </c>
      <c r="AE50" s="14">
        <f>G50*(1-0.0162617180026784)</f>
        <v>0</v>
      </c>
      <c r="AL50" s="14">
        <f t="shared" si="15"/>
        <v>0</v>
      </c>
      <c r="AM50" s="14">
        <f t="shared" si="10"/>
        <v>0</v>
      </c>
      <c r="AN50" s="15" t="s">
        <v>92</v>
      </c>
      <c r="AO50" s="15" t="s">
        <v>76</v>
      </c>
      <c r="AP50" s="25" t="s">
        <v>77</v>
      </c>
    </row>
    <row r="51" spans="1:42" ht="14.25" x14ac:dyDescent="0.2">
      <c r="A51" s="215" t="s">
        <v>187</v>
      </c>
      <c r="B51" s="4"/>
      <c r="C51" s="4"/>
      <c r="D51" s="264" t="s">
        <v>318</v>
      </c>
      <c r="E51" s="4" t="s">
        <v>130</v>
      </c>
      <c r="F51" s="265">
        <v>13</v>
      </c>
      <c r="G51" s="10"/>
      <c r="H51" s="10"/>
      <c r="I51" s="10"/>
      <c r="J51" s="258">
        <f t="shared" si="8"/>
        <v>0</v>
      </c>
      <c r="K51" s="10">
        <v>0</v>
      </c>
      <c r="L51" s="10">
        <f t="shared" si="9"/>
        <v>0</v>
      </c>
      <c r="M51" s="12" t="s">
        <v>101</v>
      </c>
      <c r="N51" s="10">
        <f t="shared" si="11"/>
        <v>0</v>
      </c>
      <c r="Y51" s="10">
        <f t="shared" si="12"/>
        <v>0</v>
      </c>
      <c r="Z51" s="10">
        <f t="shared" si="13"/>
        <v>0</v>
      </c>
      <c r="AA51" s="10">
        <f t="shared" si="14"/>
        <v>0</v>
      </c>
      <c r="AC51" s="14">
        <v>21</v>
      </c>
      <c r="AD51" s="14">
        <f t="shared" ref="AD51:AD68" si="18">G51*1</f>
        <v>0</v>
      </c>
      <c r="AE51" s="14">
        <f t="shared" ref="AE51:AE68" si="19">G51*(1-1)</f>
        <v>0</v>
      </c>
      <c r="AL51" s="14">
        <f t="shared" si="15"/>
        <v>0</v>
      </c>
      <c r="AM51" s="14">
        <f t="shared" si="10"/>
        <v>0</v>
      </c>
      <c r="AN51" s="15" t="s">
        <v>92</v>
      </c>
      <c r="AO51" s="15" t="s">
        <v>76</v>
      </c>
      <c r="AP51" s="25" t="s">
        <v>77</v>
      </c>
    </row>
    <row r="52" spans="1:42" ht="14.25" x14ac:dyDescent="0.2">
      <c r="A52" s="215" t="s">
        <v>189</v>
      </c>
      <c r="B52" s="4"/>
      <c r="C52" s="4"/>
      <c r="D52" s="264" t="s">
        <v>319</v>
      </c>
      <c r="E52" s="4" t="s">
        <v>130</v>
      </c>
      <c r="F52" s="265">
        <v>18</v>
      </c>
      <c r="G52" s="10"/>
      <c r="H52" s="10"/>
      <c r="I52" s="10"/>
      <c r="J52" s="258">
        <f t="shared" si="8"/>
        <v>0</v>
      </c>
      <c r="K52" s="10">
        <v>0</v>
      </c>
      <c r="L52" s="10">
        <f t="shared" si="9"/>
        <v>0</v>
      </c>
      <c r="M52" s="12" t="s">
        <v>101</v>
      </c>
      <c r="N52" s="10">
        <f t="shared" si="11"/>
        <v>0</v>
      </c>
      <c r="Y52" s="10">
        <f t="shared" si="12"/>
        <v>0</v>
      </c>
      <c r="Z52" s="10">
        <f t="shared" si="13"/>
        <v>0</v>
      </c>
      <c r="AA52" s="10">
        <f t="shared" si="14"/>
        <v>0</v>
      </c>
      <c r="AC52" s="14">
        <v>21</v>
      </c>
      <c r="AD52" s="14">
        <f t="shared" si="18"/>
        <v>0</v>
      </c>
      <c r="AE52" s="14">
        <f t="shared" si="19"/>
        <v>0</v>
      </c>
      <c r="AL52" s="14">
        <f t="shared" si="15"/>
        <v>0</v>
      </c>
      <c r="AM52" s="14">
        <f t="shared" si="10"/>
        <v>0</v>
      </c>
      <c r="AN52" s="15" t="s">
        <v>92</v>
      </c>
      <c r="AO52" s="15" t="s">
        <v>76</v>
      </c>
      <c r="AP52" s="25" t="s">
        <v>77</v>
      </c>
    </row>
    <row r="53" spans="1:42" ht="20.25" customHeight="1" x14ac:dyDescent="0.2">
      <c r="A53" s="215" t="s">
        <v>191</v>
      </c>
      <c r="B53" s="4"/>
      <c r="C53" s="4"/>
      <c r="D53" s="264" t="s">
        <v>320</v>
      </c>
      <c r="E53" s="4" t="s">
        <v>130</v>
      </c>
      <c r="F53" s="265">
        <v>9</v>
      </c>
      <c r="G53" s="10"/>
      <c r="H53" s="10"/>
      <c r="I53" s="10"/>
      <c r="J53" s="258">
        <f t="shared" si="8"/>
        <v>0</v>
      </c>
      <c r="K53" s="10">
        <v>0</v>
      </c>
      <c r="L53" s="10">
        <f t="shared" si="9"/>
        <v>0</v>
      </c>
      <c r="M53" s="12" t="s">
        <v>101</v>
      </c>
      <c r="N53" s="10">
        <f t="shared" si="11"/>
        <v>0</v>
      </c>
      <c r="Y53" s="10">
        <f t="shared" si="12"/>
        <v>0</v>
      </c>
      <c r="Z53" s="10">
        <f t="shared" si="13"/>
        <v>0</v>
      </c>
      <c r="AA53" s="10">
        <f t="shared" si="14"/>
        <v>0</v>
      </c>
      <c r="AC53" s="14">
        <v>21</v>
      </c>
      <c r="AD53" s="14">
        <f t="shared" si="18"/>
        <v>0</v>
      </c>
      <c r="AE53" s="14">
        <f t="shared" si="19"/>
        <v>0</v>
      </c>
      <c r="AL53" s="14">
        <f t="shared" si="15"/>
        <v>0</v>
      </c>
      <c r="AM53" s="14">
        <f t="shared" si="10"/>
        <v>0</v>
      </c>
      <c r="AN53" s="15" t="s">
        <v>92</v>
      </c>
      <c r="AO53" s="15" t="s">
        <v>76</v>
      </c>
      <c r="AP53" s="25" t="s">
        <v>77</v>
      </c>
    </row>
    <row r="54" spans="1:42" ht="14.25" x14ac:dyDescent="0.2">
      <c r="A54" s="215" t="s">
        <v>194</v>
      </c>
      <c r="B54" s="4"/>
      <c r="C54" s="4"/>
      <c r="D54" s="217" t="s">
        <v>201</v>
      </c>
      <c r="E54" s="4" t="s">
        <v>130</v>
      </c>
      <c r="F54" s="265">
        <v>149</v>
      </c>
      <c r="G54" s="10"/>
      <c r="H54" s="10"/>
      <c r="I54" s="10"/>
      <c r="J54" s="258">
        <f t="shared" si="8"/>
        <v>0</v>
      </c>
      <c r="K54" s="10">
        <v>0</v>
      </c>
      <c r="L54" s="10">
        <f t="shared" si="9"/>
        <v>0</v>
      </c>
      <c r="M54" s="12" t="s">
        <v>101</v>
      </c>
      <c r="N54" s="10">
        <f t="shared" si="11"/>
        <v>0</v>
      </c>
      <c r="Y54" s="10">
        <f t="shared" si="12"/>
        <v>0</v>
      </c>
      <c r="Z54" s="10">
        <f t="shared" si="13"/>
        <v>0</v>
      </c>
      <c r="AA54" s="10">
        <f t="shared" si="14"/>
        <v>0</v>
      </c>
      <c r="AC54" s="14">
        <v>21</v>
      </c>
      <c r="AD54" s="14">
        <f t="shared" si="18"/>
        <v>0</v>
      </c>
      <c r="AE54" s="14">
        <f t="shared" si="19"/>
        <v>0</v>
      </c>
      <c r="AL54" s="14">
        <f t="shared" si="15"/>
        <v>0</v>
      </c>
      <c r="AM54" s="14">
        <f t="shared" si="10"/>
        <v>0</v>
      </c>
      <c r="AN54" s="15" t="s">
        <v>92</v>
      </c>
      <c r="AO54" s="15" t="s">
        <v>76</v>
      </c>
      <c r="AP54" s="25" t="s">
        <v>77</v>
      </c>
    </row>
    <row r="55" spans="1:42" ht="14.25" x14ac:dyDescent="0.2">
      <c r="A55" s="215" t="s">
        <v>196</v>
      </c>
      <c r="B55" s="4"/>
      <c r="C55" s="4"/>
      <c r="D55" s="264" t="s">
        <v>321</v>
      </c>
      <c r="E55" s="4" t="s">
        <v>130</v>
      </c>
      <c r="F55" s="265">
        <v>5</v>
      </c>
      <c r="G55" s="10"/>
      <c r="H55" s="10"/>
      <c r="I55" s="10"/>
      <c r="J55" s="258">
        <f t="shared" si="8"/>
        <v>0</v>
      </c>
      <c r="K55" s="10">
        <v>0</v>
      </c>
      <c r="L55" s="10">
        <f t="shared" si="9"/>
        <v>0</v>
      </c>
      <c r="M55" s="12" t="s">
        <v>101</v>
      </c>
      <c r="N55" s="10">
        <f t="shared" si="11"/>
        <v>0</v>
      </c>
      <c r="Y55" s="10">
        <f t="shared" si="12"/>
        <v>0</v>
      </c>
      <c r="Z55" s="10">
        <f t="shared" si="13"/>
        <v>0</v>
      </c>
      <c r="AA55" s="10">
        <f t="shared" si="14"/>
        <v>0</v>
      </c>
      <c r="AC55" s="14">
        <v>21</v>
      </c>
      <c r="AD55" s="14">
        <f t="shared" si="18"/>
        <v>0</v>
      </c>
      <c r="AE55" s="14">
        <f t="shared" si="19"/>
        <v>0</v>
      </c>
      <c r="AL55" s="14">
        <f t="shared" si="15"/>
        <v>0</v>
      </c>
      <c r="AM55" s="14">
        <f t="shared" si="10"/>
        <v>0</v>
      </c>
      <c r="AN55" s="15" t="s">
        <v>92</v>
      </c>
      <c r="AO55" s="15" t="s">
        <v>76</v>
      </c>
      <c r="AP55" s="25" t="s">
        <v>77</v>
      </c>
    </row>
    <row r="56" spans="1:42" ht="20.25" customHeight="1" x14ac:dyDescent="0.2">
      <c r="A56" s="215" t="s">
        <v>198</v>
      </c>
      <c r="B56" s="4"/>
      <c r="C56" s="4"/>
      <c r="D56" s="217" t="s">
        <v>203</v>
      </c>
      <c r="E56" s="4" t="s">
        <v>130</v>
      </c>
      <c r="F56" s="265">
        <v>216</v>
      </c>
      <c r="G56" s="10"/>
      <c r="H56" s="10"/>
      <c r="I56" s="10"/>
      <c r="J56" s="258">
        <f t="shared" si="8"/>
        <v>0</v>
      </c>
      <c r="K56" s="10">
        <v>0</v>
      </c>
      <c r="L56" s="10">
        <f t="shared" si="9"/>
        <v>0</v>
      </c>
      <c r="M56" s="12" t="s">
        <v>101</v>
      </c>
      <c r="N56" s="10">
        <f t="shared" si="11"/>
        <v>0</v>
      </c>
      <c r="Y56" s="10">
        <f t="shared" si="12"/>
        <v>0</v>
      </c>
      <c r="Z56" s="10">
        <f t="shared" si="13"/>
        <v>0</v>
      </c>
      <c r="AA56" s="10">
        <f t="shared" si="14"/>
        <v>0</v>
      </c>
      <c r="AC56" s="14">
        <v>21</v>
      </c>
      <c r="AD56" s="14">
        <f t="shared" si="18"/>
        <v>0</v>
      </c>
      <c r="AE56" s="14">
        <f t="shared" si="19"/>
        <v>0</v>
      </c>
      <c r="AL56" s="14">
        <f t="shared" si="15"/>
        <v>0</v>
      </c>
      <c r="AM56" s="14">
        <f t="shared" si="10"/>
        <v>0</v>
      </c>
      <c r="AN56" s="15" t="s">
        <v>92</v>
      </c>
      <c r="AO56" s="15" t="s">
        <v>76</v>
      </c>
      <c r="AP56" s="25" t="s">
        <v>77</v>
      </c>
    </row>
    <row r="57" spans="1:42" ht="14.25" x14ac:dyDescent="0.2">
      <c r="A57" s="215" t="s">
        <v>200</v>
      </c>
      <c r="B57" s="4"/>
      <c r="C57" s="4"/>
      <c r="D57" s="264" t="s">
        <v>322</v>
      </c>
      <c r="E57" s="4" t="s">
        <v>130</v>
      </c>
      <c r="F57" s="265">
        <v>35</v>
      </c>
      <c r="G57" s="10"/>
      <c r="H57" s="10"/>
      <c r="I57" s="10"/>
      <c r="J57" s="258">
        <f t="shared" ref="J57:J73" si="20">ROUND(F57*G57,2)</f>
        <v>0</v>
      </c>
      <c r="K57" s="10">
        <v>0</v>
      </c>
      <c r="L57" s="10">
        <f t="shared" ref="L57:L73" si="21">F57*K57</f>
        <v>0</v>
      </c>
      <c r="M57" s="12" t="s">
        <v>101</v>
      </c>
      <c r="N57" s="10">
        <f t="shared" si="11"/>
        <v>0</v>
      </c>
      <c r="Y57" s="10">
        <f t="shared" si="12"/>
        <v>0</v>
      </c>
      <c r="Z57" s="10">
        <f t="shared" si="13"/>
        <v>0</v>
      </c>
      <c r="AA57" s="10">
        <f t="shared" si="14"/>
        <v>0</v>
      </c>
      <c r="AC57" s="14">
        <v>21</v>
      </c>
      <c r="AD57" s="14">
        <f t="shared" si="18"/>
        <v>0</v>
      </c>
      <c r="AE57" s="14">
        <f t="shared" si="19"/>
        <v>0</v>
      </c>
      <c r="AL57" s="14">
        <f t="shared" si="15"/>
        <v>0</v>
      </c>
      <c r="AM57" s="14">
        <f t="shared" ref="AM57:AM73" si="22">F57*AE57</f>
        <v>0</v>
      </c>
      <c r="AN57" s="15" t="s">
        <v>92</v>
      </c>
      <c r="AO57" s="15" t="s">
        <v>76</v>
      </c>
      <c r="AP57" s="25" t="s">
        <v>77</v>
      </c>
    </row>
    <row r="58" spans="1:42" ht="14.25" x14ac:dyDescent="0.2">
      <c r="A58" s="215" t="s">
        <v>202</v>
      </c>
      <c r="B58" s="4"/>
      <c r="C58" s="4"/>
      <c r="D58" s="264" t="s">
        <v>323</v>
      </c>
      <c r="E58" s="4" t="s">
        <v>130</v>
      </c>
      <c r="F58" s="265">
        <v>22</v>
      </c>
      <c r="G58" s="10"/>
      <c r="H58" s="10"/>
      <c r="I58" s="10"/>
      <c r="J58" s="258">
        <f t="shared" si="20"/>
        <v>0</v>
      </c>
      <c r="K58" s="10">
        <v>0</v>
      </c>
      <c r="L58" s="10">
        <f t="shared" si="21"/>
        <v>0</v>
      </c>
      <c r="M58" s="12" t="s">
        <v>101</v>
      </c>
      <c r="N58" s="10">
        <f t="shared" si="11"/>
        <v>0</v>
      </c>
      <c r="Y58" s="10">
        <f t="shared" si="12"/>
        <v>0</v>
      </c>
      <c r="Z58" s="10">
        <f t="shared" si="13"/>
        <v>0</v>
      </c>
      <c r="AA58" s="10">
        <f t="shared" si="14"/>
        <v>0</v>
      </c>
      <c r="AC58" s="14">
        <v>21</v>
      </c>
      <c r="AD58" s="14">
        <f t="shared" si="18"/>
        <v>0</v>
      </c>
      <c r="AE58" s="14">
        <f t="shared" si="19"/>
        <v>0</v>
      </c>
      <c r="AL58" s="14">
        <f t="shared" si="15"/>
        <v>0</v>
      </c>
      <c r="AM58" s="14">
        <f t="shared" si="22"/>
        <v>0</v>
      </c>
      <c r="AN58" s="15" t="s">
        <v>92</v>
      </c>
      <c r="AO58" s="15" t="s">
        <v>76</v>
      </c>
      <c r="AP58" s="25" t="s">
        <v>77</v>
      </c>
    </row>
    <row r="59" spans="1:42" ht="14.25" x14ac:dyDescent="0.2">
      <c r="A59" s="215" t="s">
        <v>204</v>
      </c>
      <c r="B59" s="4"/>
      <c r="C59" s="4"/>
      <c r="D59" s="217" t="s">
        <v>324</v>
      </c>
      <c r="E59" s="4" t="s">
        <v>130</v>
      </c>
      <c r="F59" s="265">
        <v>16</v>
      </c>
      <c r="G59" s="10"/>
      <c r="H59" s="10"/>
      <c r="I59" s="10"/>
      <c r="J59" s="258">
        <f t="shared" si="20"/>
        <v>0</v>
      </c>
      <c r="K59" s="10">
        <v>0</v>
      </c>
      <c r="L59" s="10">
        <f t="shared" si="21"/>
        <v>0</v>
      </c>
      <c r="M59" s="12" t="s">
        <v>101</v>
      </c>
      <c r="N59" s="10">
        <f t="shared" si="11"/>
        <v>0</v>
      </c>
      <c r="Y59" s="10">
        <f t="shared" si="12"/>
        <v>0</v>
      </c>
      <c r="Z59" s="10">
        <f t="shared" si="13"/>
        <v>0</v>
      </c>
      <c r="AA59" s="10">
        <f t="shared" si="14"/>
        <v>0</v>
      </c>
      <c r="AC59" s="14">
        <v>21</v>
      </c>
      <c r="AD59" s="14">
        <f t="shared" si="18"/>
        <v>0</v>
      </c>
      <c r="AE59" s="14">
        <f t="shared" si="19"/>
        <v>0</v>
      </c>
      <c r="AL59" s="14">
        <f t="shared" si="15"/>
        <v>0</v>
      </c>
      <c r="AM59" s="14">
        <f t="shared" si="22"/>
        <v>0</v>
      </c>
      <c r="AN59" s="15" t="s">
        <v>92</v>
      </c>
      <c r="AO59" s="15" t="s">
        <v>76</v>
      </c>
      <c r="AP59" s="25" t="s">
        <v>77</v>
      </c>
    </row>
    <row r="60" spans="1:42" ht="20.25" customHeight="1" x14ac:dyDescent="0.2">
      <c r="A60" s="215" t="s">
        <v>206</v>
      </c>
      <c r="B60" s="4"/>
      <c r="C60" s="4"/>
      <c r="D60" s="217" t="s">
        <v>216</v>
      </c>
      <c r="E60" s="4" t="s">
        <v>130</v>
      </c>
      <c r="F60" s="265">
        <v>126</v>
      </c>
      <c r="G60" s="10"/>
      <c r="H60" s="10"/>
      <c r="I60" s="10"/>
      <c r="J60" s="258">
        <f t="shared" si="20"/>
        <v>0</v>
      </c>
      <c r="K60" s="10">
        <v>0</v>
      </c>
      <c r="L60" s="10">
        <f t="shared" si="21"/>
        <v>0</v>
      </c>
      <c r="M60" s="12" t="s">
        <v>101</v>
      </c>
      <c r="N60" s="10">
        <f t="shared" si="11"/>
        <v>0</v>
      </c>
      <c r="Y60" s="10">
        <f t="shared" si="12"/>
        <v>0</v>
      </c>
      <c r="Z60" s="10">
        <f t="shared" si="13"/>
        <v>0</v>
      </c>
      <c r="AA60" s="10">
        <f t="shared" si="14"/>
        <v>0</v>
      </c>
      <c r="AC60" s="14">
        <v>21</v>
      </c>
      <c r="AD60" s="14">
        <f t="shared" si="18"/>
        <v>0</v>
      </c>
      <c r="AE60" s="14">
        <f t="shared" si="19"/>
        <v>0</v>
      </c>
      <c r="AL60" s="14">
        <f t="shared" si="15"/>
        <v>0</v>
      </c>
      <c r="AM60" s="14">
        <f t="shared" si="22"/>
        <v>0</v>
      </c>
      <c r="AN60" s="15" t="s">
        <v>92</v>
      </c>
      <c r="AO60" s="15" t="s">
        <v>76</v>
      </c>
      <c r="AP60" s="25" t="s">
        <v>77</v>
      </c>
    </row>
    <row r="61" spans="1:42" ht="14.25" x14ac:dyDescent="0.2">
      <c r="A61" s="215" t="s">
        <v>208</v>
      </c>
      <c r="B61" s="4"/>
      <c r="C61" s="4"/>
      <c r="D61" s="264" t="s">
        <v>329</v>
      </c>
      <c r="E61" s="4" t="s">
        <v>130</v>
      </c>
      <c r="F61" s="265">
        <v>114</v>
      </c>
      <c r="G61" s="10"/>
      <c r="H61" s="10"/>
      <c r="I61" s="10"/>
      <c r="J61" s="258">
        <f t="shared" si="20"/>
        <v>0</v>
      </c>
      <c r="K61" s="10">
        <v>0</v>
      </c>
      <c r="L61" s="10">
        <f t="shared" si="21"/>
        <v>0</v>
      </c>
      <c r="M61" s="12" t="s">
        <v>101</v>
      </c>
      <c r="N61" s="10">
        <f t="shared" si="11"/>
        <v>0</v>
      </c>
      <c r="Y61" s="10">
        <f t="shared" si="12"/>
        <v>0</v>
      </c>
      <c r="Z61" s="10">
        <f t="shared" si="13"/>
        <v>0</v>
      </c>
      <c r="AA61" s="10">
        <f t="shared" si="14"/>
        <v>0</v>
      </c>
      <c r="AC61" s="14">
        <v>21</v>
      </c>
      <c r="AD61" s="14">
        <f t="shared" si="18"/>
        <v>0</v>
      </c>
      <c r="AE61" s="14">
        <f t="shared" si="19"/>
        <v>0</v>
      </c>
      <c r="AL61" s="14">
        <f t="shared" si="15"/>
        <v>0</v>
      </c>
      <c r="AM61" s="14">
        <f t="shared" si="22"/>
        <v>0</v>
      </c>
      <c r="AN61" s="15" t="s">
        <v>92</v>
      </c>
      <c r="AO61" s="15" t="s">
        <v>76</v>
      </c>
      <c r="AP61" s="25" t="s">
        <v>77</v>
      </c>
    </row>
    <row r="62" spans="1:42" ht="14.25" x14ac:dyDescent="0.2">
      <c r="A62" s="215" t="s">
        <v>210</v>
      </c>
      <c r="B62" s="4"/>
      <c r="C62" s="4"/>
      <c r="D62" s="264" t="s">
        <v>218</v>
      </c>
      <c r="E62" s="4" t="s">
        <v>130</v>
      </c>
      <c r="F62" s="265">
        <v>150</v>
      </c>
      <c r="G62" s="10"/>
      <c r="H62" s="10"/>
      <c r="I62" s="10"/>
      <c r="J62" s="258">
        <f t="shared" si="20"/>
        <v>0</v>
      </c>
      <c r="K62" s="10">
        <v>0</v>
      </c>
      <c r="L62" s="10">
        <f t="shared" si="21"/>
        <v>0</v>
      </c>
      <c r="M62" s="12" t="s">
        <v>101</v>
      </c>
      <c r="N62" s="10">
        <f t="shared" si="11"/>
        <v>0</v>
      </c>
      <c r="Y62" s="10">
        <f t="shared" si="12"/>
        <v>0</v>
      </c>
      <c r="Z62" s="10">
        <f t="shared" si="13"/>
        <v>0</v>
      </c>
      <c r="AA62" s="10">
        <f t="shared" si="14"/>
        <v>0</v>
      </c>
      <c r="AC62" s="14">
        <v>21</v>
      </c>
      <c r="AD62" s="14">
        <f t="shared" si="18"/>
        <v>0</v>
      </c>
      <c r="AE62" s="14">
        <f t="shared" si="19"/>
        <v>0</v>
      </c>
      <c r="AL62" s="14">
        <f t="shared" si="15"/>
        <v>0</v>
      </c>
      <c r="AM62" s="14">
        <f t="shared" si="22"/>
        <v>0</v>
      </c>
      <c r="AN62" s="15" t="s">
        <v>92</v>
      </c>
      <c r="AO62" s="15" t="s">
        <v>76</v>
      </c>
      <c r="AP62" s="25" t="s">
        <v>77</v>
      </c>
    </row>
    <row r="63" spans="1:42" ht="14.25" x14ac:dyDescent="0.2">
      <c r="A63" s="215" t="s">
        <v>34</v>
      </c>
      <c r="B63" s="4"/>
      <c r="C63" s="4"/>
      <c r="D63" s="217" t="s">
        <v>220</v>
      </c>
      <c r="E63" s="4" t="s">
        <v>130</v>
      </c>
      <c r="F63" s="265">
        <v>31</v>
      </c>
      <c r="G63" s="10"/>
      <c r="H63" s="10"/>
      <c r="I63" s="10"/>
      <c r="J63" s="258">
        <f t="shared" si="20"/>
        <v>0</v>
      </c>
      <c r="K63" s="10">
        <v>0</v>
      </c>
      <c r="L63" s="10">
        <f t="shared" si="21"/>
        <v>0</v>
      </c>
      <c r="M63" s="12" t="s">
        <v>101</v>
      </c>
      <c r="N63" s="10">
        <f t="shared" si="11"/>
        <v>0</v>
      </c>
      <c r="Y63" s="10">
        <f t="shared" si="12"/>
        <v>0</v>
      </c>
      <c r="Z63" s="10">
        <f t="shared" si="13"/>
        <v>0</v>
      </c>
      <c r="AA63" s="10">
        <f t="shared" si="14"/>
        <v>0</v>
      </c>
      <c r="AC63" s="14">
        <v>21</v>
      </c>
      <c r="AD63" s="14">
        <f t="shared" si="18"/>
        <v>0</v>
      </c>
      <c r="AE63" s="14">
        <f t="shared" si="19"/>
        <v>0</v>
      </c>
      <c r="AL63" s="14">
        <f t="shared" si="15"/>
        <v>0</v>
      </c>
      <c r="AM63" s="14">
        <f t="shared" si="22"/>
        <v>0</v>
      </c>
      <c r="AN63" s="15" t="s">
        <v>92</v>
      </c>
      <c r="AO63" s="15" t="s">
        <v>76</v>
      </c>
      <c r="AP63" s="25" t="s">
        <v>77</v>
      </c>
    </row>
    <row r="64" spans="1:42" ht="20.25" customHeight="1" x14ac:dyDescent="0.2">
      <c r="A64" s="215" t="s">
        <v>213</v>
      </c>
      <c r="B64" s="4"/>
      <c r="C64" s="4"/>
      <c r="D64" s="217" t="s">
        <v>222</v>
      </c>
      <c r="E64" s="4" t="s">
        <v>130</v>
      </c>
      <c r="F64" s="265">
        <v>28</v>
      </c>
      <c r="G64" s="10"/>
      <c r="H64" s="10"/>
      <c r="I64" s="10"/>
      <c r="J64" s="258">
        <f t="shared" si="20"/>
        <v>0</v>
      </c>
      <c r="K64" s="10">
        <v>0</v>
      </c>
      <c r="L64" s="10">
        <f t="shared" si="21"/>
        <v>0</v>
      </c>
      <c r="M64" s="12" t="s">
        <v>101</v>
      </c>
      <c r="N64" s="10">
        <f t="shared" si="11"/>
        <v>0</v>
      </c>
      <c r="Y64" s="10">
        <f t="shared" si="12"/>
        <v>0</v>
      </c>
      <c r="Z64" s="10">
        <f t="shared" si="13"/>
        <v>0</v>
      </c>
      <c r="AA64" s="10">
        <f t="shared" si="14"/>
        <v>0</v>
      </c>
      <c r="AC64" s="14">
        <v>21</v>
      </c>
      <c r="AD64" s="14">
        <f t="shared" si="18"/>
        <v>0</v>
      </c>
      <c r="AE64" s="14">
        <f t="shared" si="19"/>
        <v>0</v>
      </c>
      <c r="AL64" s="14">
        <f t="shared" si="15"/>
        <v>0</v>
      </c>
      <c r="AM64" s="14">
        <f t="shared" si="22"/>
        <v>0</v>
      </c>
      <c r="AN64" s="15" t="s">
        <v>92</v>
      </c>
      <c r="AO64" s="15" t="s">
        <v>76</v>
      </c>
      <c r="AP64" s="25" t="s">
        <v>77</v>
      </c>
    </row>
    <row r="65" spans="1:42" ht="14.25" x14ac:dyDescent="0.2">
      <c r="A65" s="215" t="s">
        <v>215</v>
      </c>
      <c r="B65" s="4"/>
      <c r="C65" s="4"/>
      <c r="D65" s="217" t="s">
        <v>330</v>
      </c>
      <c r="E65" s="4" t="s">
        <v>130</v>
      </c>
      <c r="F65" s="265">
        <v>7</v>
      </c>
      <c r="G65" s="10"/>
      <c r="H65" s="10"/>
      <c r="I65" s="10"/>
      <c r="J65" s="258">
        <f t="shared" si="20"/>
        <v>0</v>
      </c>
      <c r="K65" s="10">
        <v>0</v>
      </c>
      <c r="L65" s="10">
        <f t="shared" si="21"/>
        <v>0</v>
      </c>
      <c r="M65" s="12" t="s">
        <v>101</v>
      </c>
      <c r="N65" s="10">
        <f t="shared" si="11"/>
        <v>0</v>
      </c>
      <c r="Y65" s="10">
        <f t="shared" si="12"/>
        <v>0</v>
      </c>
      <c r="Z65" s="10">
        <f t="shared" si="13"/>
        <v>0</v>
      </c>
      <c r="AA65" s="10">
        <f t="shared" si="14"/>
        <v>0</v>
      </c>
      <c r="AC65" s="14">
        <v>21</v>
      </c>
      <c r="AD65" s="14">
        <f t="shared" si="18"/>
        <v>0</v>
      </c>
      <c r="AE65" s="14">
        <f t="shared" si="19"/>
        <v>0</v>
      </c>
      <c r="AL65" s="14">
        <f t="shared" si="15"/>
        <v>0</v>
      </c>
      <c r="AM65" s="14">
        <f t="shared" si="22"/>
        <v>0</v>
      </c>
      <c r="AN65" s="15" t="s">
        <v>92</v>
      </c>
      <c r="AO65" s="15" t="s">
        <v>76</v>
      </c>
      <c r="AP65" s="25" t="s">
        <v>77</v>
      </c>
    </row>
    <row r="66" spans="1:42" ht="20.25" customHeight="1" x14ac:dyDescent="0.2">
      <c r="A66" s="215" t="s">
        <v>217</v>
      </c>
      <c r="B66" s="4"/>
      <c r="C66" s="4"/>
      <c r="D66" s="217" t="s">
        <v>331</v>
      </c>
      <c r="E66" s="4" t="s">
        <v>130</v>
      </c>
      <c r="F66" s="265">
        <v>6</v>
      </c>
      <c r="G66" s="10"/>
      <c r="H66" s="10"/>
      <c r="I66" s="10"/>
      <c r="J66" s="258">
        <f t="shared" si="20"/>
        <v>0</v>
      </c>
      <c r="K66" s="10">
        <v>0</v>
      </c>
      <c r="L66" s="10">
        <f t="shared" si="21"/>
        <v>0</v>
      </c>
      <c r="M66" s="12" t="s">
        <v>101</v>
      </c>
      <c r="N66" s="10">
        <f t="shared" si="11"/>
        <v>0</v>
      </c>
      <c r="Y66" s="10">
        <f t="shared" si="12"/>
        <v>0</v>
      </c>
      <c r="Z66" s="10">
        <f t="shared" si="13"/>
        <v>0</v>
      </c>
      <c r="AA66" s="10">
        <f t="shared" si="14"/>
        <v>0</v>
      </c>
      <c r="AC66" s="14">
        <v>21</v>
      </c>
      <c r="AD66" s="14">
        <f t="shared" si="18"/>
        <v>0</v>
      </c>
      <c r="AE66" s="14">
        <f t="shared" si="19"/>
        <v>0</v>
      </c>
      <c r="AL66" s="14">
        <f t="shared" si="15"/>
        <v>0</v>
      </c>
      <c r="AM66" s="14">
        <f t="shared" si="22"/>
        <v>0</v>
      </c>
      <c r="AN66" s="15" t="s">
        <v>92</v>
      </c>
      <c r="AO66" s="15" t="s">
        <v>76</v>
      </c>
      <c r="AP66" s="25" t="s">
        <v>77</v>
      </c>
    </row>
    <row r="67" spans="1:42" ht="14.25" x14ac:dyDescent="0.2">
      <c r="A67" s="215" t="s">
        <v>219</v>
      </c>
      <c r="B67" s="4"/>
      <c r="C67" s="4"/>
      <c r="D67" s="217" t="s">
        <v>332</v>
      </c>
      <c r="E67" s="4" t="s">
        <v>130</v>
      </c>
      <c r="F67" s="265">
        <v>2</v>
      </c>
      <c r="G67" s="10"/>
      <c r="H67" s="10"/>
      <c r="I67" s="10"/>
      <c r="J67" s="258">
        <f t="shared" si="20"/>
        <v>0</v>
      </c>
      <c r="K67" s="10">
        <v>0</v>
      </c>
      <c r="L67" s="10">
        <f t="shared" si="21"/>
        <v>0</v>
      </c>
      <c r="M67" s="12" t="s">
        <v>101</v>
      </c>
      <c r="N67" s="10">
        <f t="shared" si="11"/>
        <v>0</v>
      </c>
      <c r="Y67" s="10">
        <f t="shared" si="12"/>
        <v>0</v>
      </c>
      <c r="Z67" s="10">
        <f t="shared" si="13"/>
        <v>0</v>
      </c>
      <c r="AA67" s="10">
        <f t="shared" si="14"/>
        <v>0</v>
      </c>
      <c r="AC67" s="14">
        <v>21</v>
      </c>
      <c r="AD67" s="14">
        <f t="shared" si="18"/>
        <v>0</v>
      </c>
      <c r="AE67" s="14">
        <f t="shared" si="19"/>
        <v>0</v>
      </c>
      <c r="AL67" s="14">
        <f t="shared" si="15"/>
        <v>0</v>
      </c>
      <c r="AM67" s="14">
        <f t="shared" si="22"/>
        <v>0</v>
      </c>
      <c r="AN67" s="15" t="s">
        <v>92</v>
      </c>
      <c r="AO67" s="15" t="s">
        <v>76</v>
      </c>
      <c r="AP67" s="25" t="s">
        <v>77</v>
      </c>
    </row>
    <row r="68" spans="1:42" ht="20.25" customHeight="1" x14ac:dyDescent="0.2">
      <c r="A68" s="215" t="s">
        <v>221</v>
      </c>
      <c r="B68" s="4"/>
      <c r="C68" s="4"/>
      <c r="D68" s="217" t="s">
        <v>335</v>
      </c>
      <c r="E68" s="4" t="s">
        <v>130</v>
      </c>
      <c r="F68" s="265">
        <v>4</v>
      </c>
      <c r="G68" s="10"/>
      <c r="H68" s="10"/>
      <c r="I68" s="10"/>
      <c r="J68" s="258">
        <f t="shared" si="20"/>
        <v>0</v>
      </c>
      <c r="K68" s="10">
        <v>0</v>
      </c>
      <c r="L68" s="10">
        <f t="shared" si="21"/>
        <v>0</v>
      </c>
      <c r="M68" s="12" t="s">
        <v>101</v>
      </c>
      <c r="N68" s="10">
        <f t="shared" si="11"/>
        <v>0</v>
      </c>
      <c r="Y68" s="10">
        <f t="shared" si="12"/>
        <v>0</v>
      </c>
      <c r="Z68" s="10">
        <f t="shared" si="13"/>
        <v>0</v>
      </c>
      <c r="AA68" s="10">
        <f t="shared" si="14"/>
        <v>0</v>
      </c>
      <c r="AC68" s="14">
        <v>21</v>
      </c>
      <c r="AD68" s="14">
        <f t="shared" si="18"/>
        <v>0</v>
      </c>
      <c r="AE68" s="14">
        <f t="shared" si="19"/>
        <v>0</v>
      </c>
      <c r="AL68" s="14">
        <f t="shared" si="15"/>
        <v>0</v>
      </c>
      <c r="AM68" s="14">
        <f t="shared" si="22"/>
        <v>0</v>
      </c>
      <c r="AN68" s="15" t="s">
        <v>92</v>
      </c>
      <c r="AO68" s="15" t="s">
        <v>76</v>
      </c>
      <c r="AP68" s="25" t="s">
        <v>77</v>
      </c>
    </row>
    <row r="69" spans="1:42" ht="24" x14ac:dyDescent="0.2">
      <c r="A69" s="215" t="s">
        <v>223</v>
      </c>
      <c r="B69" s="3"/>
      <c r="C69" s="3" t="s">
        <v>224</v>
      </c>
      <c r="D69" s="49" t="s">
        <v>225</v>
      </c>
      <c r="E69" s="3" t="s">
        <v>88</v>
      </c>
      <c r="F69" s="9">
        <v>0.48</v>
      </c>
      <c r="G69" s="9"/>
      <c r="H69" s="9"/>
      <c r="I69" s="9"/>
      <c r="J69" s="256">
        <f t="shared" si="20"/>
        <v>0</v>
      </c>
      <c r="K69" s="9">
        <v>0</v>
      </c>
      <c r="L69" s="9">
        <f t="shared" si="21"/>
        <v>0</v>
      </c>
      <c r="M69" s="11" t="s">
        <v>73</v>
      </c>
      <c r="N69" s="9">
        <f t="shared" si="11"/>
        <v>0</v>
      </c>
      <c r="Y69" s="9">
        <f t="shared" si="12"/>
        <v>0</v>
      </c>
      <c r="Z69" s="9">
        <f t="shared" si="13"/>
        <v>0</v>
      </c>
      <c r="AA69" s="9">
        <f t="shared" si="14"/>
        <v>0</v>
      </c>
      <c r="AC69" s="14">
        <v>21</v>
      </c>
      <c r="AD69" s="14">
        <f>G69*0</f>
        <v>0</v>
      </c>
      <c r="AE69" s="14">
        <f>G69*(1-0)</f>
        <v>0</v>
      </c>
      <c r="AL69" s="14">
        <f t="shared" si="15"/>
        <v>0</v>
      </c>
      <c r="AM69" s="14">
        <f t="shared" si="22"/>
        <v>0</v>
      </c>
      <c r="AN69" s="15" t="s">
        <v>92</v>
      </c>
      <c r="AO69" s="15" t="s">
        <v>76</v>
      </c>
      <c r="AP69" s="25" t="s">
        <v>77</v>
      </c>
    </row>
    <row r="70" spans="1:42" x14ac:dyDescent="0.2">
      <c r="A70" s="215" t="s">
        <v>226</v>
      </c>
      <c r="B70" s="4"/>
      <c r="C70" s="4" t="s">
        <v>227</v>
      </c>
      <c r="D70" s="49" t="s">
        <v>228</v>
      </c>
      <c r="E70" s="4" t="s">
        <v>229</v>
      </c>
      <c r="F70" s="10">
        <v>48</v>
      </c>
      <c r="G70" s="10"/>
      <c r="H70" s="10"/>
      <c r="I70" s="10"/>
      <c r="J70" s="258">
        <f t="shared" si="20"/>
        <v>0</v>
      </c>
      <c r="K70" s="10">
        <v>1E-3</v>
      </c>
      <c r="L70" s="10">
        <f t="shared" si="21"/>
        <v>4.8000000000000001E-2</v>
      </c>
      <c r="M70" s="12" t="s">
        <v>101</v>
      </c>
      <c r="N70" s="10">
        <f t="shared" si="11"/>
        <v>0</v>
      </c>
      <c r="Y70" s="10">
        <f t="shared" si="12"/>
        <v>0</v>
      </c>
      <c r="Z70" s="10">
        <f t="shared" si="13"/>
        <v>0</v>
      </c>
      <c r="AA70" s="10">
        <f t="shared" si="14"/>
        <v>0</v>
      </c>
      <c r="AC70" s="14">
        <v>21</v>
      </c>
      <c r="AD70" s="14">
        <f>G70*1</f>
        <v>0</v>
      </c>
      <c r="AE70" s="14">
        <f>G70*(1-1)</f>
        <v>0</v>
      </c>
      <c r="AL70" s="14">
        <f t="shared" si="15"/>
        <v>0</v>
      </c>
      <c r="AM70" s="14">
        <f t="shared" si="22"/>
        <v>0</v>
      </c>
      <c r="AN70" s="15" t="s">
        <v>92</v>
      </c>
      <c r="AO70" s="15" t="s">
        <v>76</v>
      </c>
      <c r="AP70" s="25" t="s">
        <v>77</v>
      </c>
    </row>
    <row r="71" spans="1:42" x14ac:dyDescent="0.2">
      <c r="A71" s="215" t="s">
        <v>230</v>
      </c>
      <c r="B71" s="3"/>
      <c r="C71" s="3" t="s">
        <v>236</v>
      </c>
      <c r="D71" s="49" t="s">
        <v>237</v>
      </c>
      <c r="E71" s="3" t="s">
        <v>74</v>
      </c>
      <c r="F71" s="9">
        <f>F50</f>
        <v>951</v>
      </c>
      <c r="G71" s="9"/>
      <c r="H71" s="9"/>
      <c r="I71" s="9"/>
      <c r="J71" s="256">
        <f t="shared" si="20"/>
        <v>0</v>
      </c>
      <c r="K71" s="9">
        <v>0</v>
      </c>
      <c r="L71" s="9">
        <f t="shared" si="21"/>
        <v>0</v>
      </c>
      <c r="M71" s="11" t="s">
        <v>73</v>
      </c>
      <c r="N71" s="9">
        <f t="shared" si="11"/>
        <v>0</v>
      </c>
      <c r="Y71" s="9">
        <f t="shared" si="12"/>
        <v>0</v>
      </c>
      <c r="Z71" s="9">
        <f t="shared" si="13"/>
        <v>0</v>
      </c>
      <c r="AA71" s="9">
        <f t="shared" si="14"/>
        <v>0</v>
      </c>
      <c r="AC71" s="14">
        <v>21</v>
      </c>
      <c r="AD71" s="14">
        <f>G71*0</f>
        <v>0</v>
      </c>
      <c r="AE71" s="14">
        <f>G71*(1-0)</f>
        <v>0</v>
      </c>
      <c r="AL71" s="14">
        <f t="shared" si="15"/>
        <v>0</v>
      </c>
      <c r="AM71" s="14">
        <f t="shared" si="22"/>
        <v>0</v>
      </c>
      <c r="AN71" s="15" t="s">
        <v>92</v>
      </c>
      <c r="AO71" s="15" t="s">
        <v>76</v>
      </c>
      <c r="AP71" s="25" t="s">
        <v>77</v>
      </c>
    </row>
    <row r="72" spans="1:42" ht="14.25" x14ac:dyDescent="0.2">
      <c r="A72" s="215" t="s">
        <v>231</v>
      </c>
      <c r="B72" s="4"/>
      <c r="C72" s="4"/>
      <c r="D72" s="217" t="s">
        <v>336</v>
      </c>
      <c r="E72" s="4" t="s">
        <v>74</v>
      </c>
      <c r="F72" s="280">
        <f>F27</f>
        <v>419</v>
      </c>
      <c r="G72" s="10"/>
      <c r="H72" s="10"/>
      <c r="I72" s="10"/>
      <c r="J72" s="258">
        <f t="shared" si="20"/>
        <v>0</v>
      </c>
      <c r="K72" s="10">
        <v>0</v>
      </c>
      <c r="L72" s="10">
        <f t="shared" si="21"/>
        <v>0</v>
      </c>
      <c r="M72" s="12" t="s">
        <v>101</v>
      </c>
      <c r="N72" s="10">
        <f t="shared" si="11"/>
        <v>0</v>
      </c>
      <c r="Y72" s="10">
        <f t="shared" si="12"/>
        <v>0</v>
      </c>
      <c r="Z72" s="10">
        <f t="shared" si="13"/>
        <v>0</v>
      </c>
      <c r="AA72" s="10">
        <f t="shared" si="14"/>
        <v>0</v>
      </c>
      <c r="AC72" s="14">
        <v>21</v>
      </c>
      <c r="AD72" s="14">
        <f>G72*1</f>
        <v>0</v>
      </c>
      <c r="AE72" s="14">
        <f>G72*(1-1)</f>
        <v>0</v>
      </c>
      <c r="AL72" s="14">
        <f t="shared" si="15"/>
        <v>0</v>
      </c>
      <c r="AM72" s="14">
        <f t="shared" si="22"/>
        <v>0</v>
      </c>
      <c r="AN72" s="15" t="s">
        <v>92</v>
      </c>
      <c r="AO72" s="15" t="s">
        <v>76</v>
      </c>
      <c r="AP72" s="25" t="s">
        <v>77</v>
      </c>
    </row>
    <row r="73" spans="1:42" ht="15" thickBot="1" x14ac:dyDescent="0.25">
      <c r="A73" s="215" t="s">
        <v>232</v>
      </c>
      <c r="B73" s="4"/>
      <c r="C73" s="4"/>
      <c r="D73" s="217" t="s">
        <v>241</v>
      </c>
      <c r="E73" s="4" t="s">
        <v>130</v>
      </c>
      <c r="F73" s="280">
        <f>F40</f>
        <v>24</v>
      </c>
      <c r="G73" s="10"/>
      <c r="H73" s="10"/>
      <c r="I73" s="10"/>
      <c r="J73" s="258">
        <f t="shared" si="20"/>
        <v>0</v>
      </c>
      <c r="K73" s="10">
        <v>0</v>
      </c>
      <c r="L73" s="10">
        <f t="shared" si="21"/>
        <v>0</v>
      </c>
      <c r="M73" s="12" t="s">
        <v>101</v>
      </c>
      <c r="N73" s="10">
        <f t="shared" si="11"/>
        <v>0</v>
      </c>
      <c r="Y73" s="10">
        <f t="shared" si="12"/>
        <v>0</v>
      </c>
      <c r="Z73" s="10">
        <f t="shared" si="13"/>
        <v>0</v>
      </c>
      <c r="AA73" s="10">
        <f t="shared" si="14"/>
        <v>0</v>
      </c>
      <c r="AC73" s="14">
        <v>21</v>
      </c>
      <c r="AD73" s="14">
        <f>G73*1</f>
        <v>0</v>
      </c>
      <c r="AE73" s="14">
        <f>G73*(1-1)</f>
        <v>0</v>
      </c>
      <c r="AL73" s="14">
        <f t="shared" si="15"/>
        <v>0</v>
      </c>
      <c r="AM73" s="14">
        <f t="shared" si="22"/>
        <v>0</v>
      </c>
      <c r="AN73" s="15" t="s">
        <v>92</v>
      </c>
      <c r="AO73" s="15" t="s">
        <v>76</v>
      </c>
      <c r="AP73" s="25" t="s">
        <v>77</v>
      </c>
    </row>
    <row r="74" spans="1:42" s="43" customFormat="1" ht="13.5" thickBot="1" x14ac:dyDescent="0.25">
      <c r="A74" s="40"/>
      <c r="B74" s="41"/>
      <c r="C74" s="41"/>
      <c r="D74" s="50" t="s">
        <v>247</v>
      </c>
      <c r="E74" s="41"/>
      <c r="F74" s="42"/>
      <c r="G74" s="42"/>
      <c r="H74" s="42"/>
      <c r="I74" s="42"/>
      <c r="J74" s="44">
        <f>J12+J10+J5</f>
        <v>0</v>
      </c>
      <c r="K74" s="42"/>
      <c r="L74" s="44"/>
      <c r="M74" s="35"/>
      <c r="N74" s="34"/>
      <c r="Y74" s="34"/>
      <c r="Z74" s="34"/>
      <c r="AA74" s="34"/>
      <c r="AC74" s="37"/>
      <c r="AD74" s="37"/>
      <c r="AE74" s="37"/>
      <c r="AL74" s="37"/>
      <c r="AM74" s="37"/>
      <c r="AN74" s="38"/>
      <c r="AO74" s="38"/>
      <c r="AP74" s="39"/>
    </row>
    <row r="75" spans="1:42" x14ac:dyDescent="0.2">
      <c r="A75" s="127"/>
      <c r="B75" s="203" t="s">
        <v>248</v>
      </c>
      <c r="C75" s="203" t="s">
        <v>249</v>
      </c>
      <c r="D75" s="49"/>
      <c r="E75" s="203"/>
      <c r="F75" s="203"/>
      <c r="G75" s="15"/>
      <c r="H75" s="32"/>
      <c r="I75" s="32"/>
      <c r="J75" s="278"/>
      <c r="K75" s="32"/>
      <c r="L75" s="32"/>
      <c r="M75" s="33"/>
      <c r="O75" s="25"/>
      <c r="P75" s="25"/>
      <c r="Q75" s="25"/>
      <c r="R75" s="25"/>
      <c r="S75" s="25"/>
      <c r="T75" s="25"/>
      <c r="U75" s="25"/>
      <c r="V75" s="25"/>
      <c r="W75" s="25"/>
    </row>
    <row r="76" spans="1:42" x14ac:dyDescent="0.2">
      <c r="A76" s="262"/>
      <c r="B76" s="202"/>
      <c r="C76" s="202" t="s">
        <v>26</v>
      </c>
      <c r="D76" s="299" t="s">
        <v>27</v>
      </c>
      <c r="E76" s="300"/>
      <c r="F76" s="300"/>
      <c r="G76" s="300"/>
      <c r="H76" s="28">
        <f>SUM(H77:H78)</f>
        <v>0</v>
      </c>
      <c r="I76" s="28">
        <f>SUM(I77:I78)</f>
        <v>0</v>
      </c>
      <c r="J76" s="263">
        <f>H76+I76</f>
        <v>0</v>
      </c>
      <c r="K76" s="25"/>
      <c r="L76" s="28">
        <f>SUM(L77:L78)</f>
        <v>0</v>
      </c>
      <c r="O76" s="28" t="e">
        <f>IF(P76="PR",J76,SUM(#REF!))</f>
        <v>#REF!</v>
      </c>
      <c r="P76" s="25" t="s">
        <v>72</v>
      </c>
      <c r="Q76" s="28">
        <f>IF(P76="HS",H76,0)</f>
        <v>0</v>
      </c>
      <c r="R76" s="28" t="e">
        <f>IF(P76="HS",I76-O76,0)</f>
        <v>#REF!</v>
      </c>
      <c r="S76" s="28">
        <f>IF(P76="PS",H76,0)</f>
        <v>0</v>
      </c>
      <c r="T76" s="28">
        <f>IF(P76="PS",I76-O76,0)</f>
        <v>0</v>
      </c>
      <c r="U76" s="28">
        <f>IF(P76="MP",H76,0)</f>
        <v>0</v>
      </c>
      <c r="V76" s="28">
        <f>IF(P76="MP",I76-O76,0)</f>
        <v>0</v>
      </c>
      <c r="W76" s="28">
        <f>IF(P76="OM",H76,0)</f>
        <v>0</v>
      </c>
      <c r="X76" s="25"/>
      <c r="AH76" s="28" t="e">
        <f>SUM(#REF!)</f>
        <v>#REF!</v>
      </c>
      <c r="AI76" s="28" t="e">
        <f>SUM(#REF!)</f>
        <v>#REF!</v>
      </c>
      <c r="AJ76" s="28" t="e">
        <f>SUM(#REF!)</f>
        <v>#REF!</v>
      </c>
    </row>
    <row r="77" spans="1:42" x14ac:dyDescent="0.2">
      <c r="A77" s="215" t="s">
        <v>235</v>
      </c>
      <c r="B77" s="3"/>
      <c r="C77" s="3" t="s">
        <v>83</v>
      </c>
      <c r="D77" s="49" t="s">
        <v>337</v>
      </c>
      <c r="E77" s="3" t="s">
        <v>84</v>
      </c>
      <c r="F77" s="9">
        <v>79</v>
      </c>
      <c r="G77" s="9"/>
      <c r="H77" s="9"/>
      <c r="I77" s="9"/>
      <c r="J77" s="256">
        <f>ROUND(F77*G77,2)</f>
        <v>0</v>
      </c>
      <c r="K77" s="9">
        <v>0</v>
      </c>
      <c r="L77" s="9">
        <f>F77*K77</f>
        <v>0</v>
      </c>
      <c r="M77" s="11" t="s">
        <v>85</v>
      </c>
      <c r="N77" s="9">
        <f>IF(M77="5",I77,0)</f>
        <v>0</v>
      </c>
      <c r="Y77" s="9">
        <f>IF(AC77=0,J77,0)</f>
        <v>0</v>
      </c>
      <c r="Z77" s="9">
        <f>IF(AC77=15,J77,0)</f>
        <v>0</v>
      </c>
      <c r="AA77" s="9">
        <f>IF(AC77=21,J77,0)</f>
        <v>0</v>
      </c>
      <c r="AC77" s="14">
        <v>21</v>
      </c>
      <c r="AD77" s="14">
        <f>G77*0</f>
        <v>0</v>
      </c>
      <c r="AE77" s="14">
        <f>G77*(1-0)</f>
        <v>0</v>
      </c>
      <c r="AL77" s="14">
        <f>F77*AD77</f>
        <v>0</v>
      </c>
      <c r="AM77" s="14">
        <f>F77*AE77</f>
        <v>0</v>
      </c>
      <c r="AN77" s="15" t="s">
        <v>86</v>
      </c>
      <c r="AO77" s="15" t="s">
        <v>76</v>
      </c>
      <c r="AP77" s="25" t="s">
        <v>77</v>
      </c>
    </row>
    <row r="78" spans="1:42" x14ac:dyDescent="0.2">
      <c r="A78" s="215" t="s">
        <v>238</v>
      </c>
      <c r="B78" s="3"/>
      <c r="C78" s="3" t="s">
        <v>233</v>
      </c>
      <c r="D78" s="49" t="s">
        <v>234</v>
      </c>
      <c r="E78" s="3" t="s">
        <v>74</v>
      </c>
      <c r="F78" s="9">
        <v>316</v>
      </c>
      <c r="G78" s="9"/>
      <c r="H78" s="9"/>
      <c r="I78" s="9"/>
      <c r="J78" s="256">
        <f>ROUND(F78*G78,2)</f>
        <v>0</v>
      </c>
      <c r="K78" s="9">
        <v>0</v>
      </c>
      <c r="L78" s="9">
        <f>F78*K78</f>
        <v>0</v>
      </c>
      <c r="M78" s="11" t="s">
        <v>73</v>
      </c>
      <c r="N78" s="9">
        <f>IF(M78="5",I78,0)</f>
        <v>0</v>
      </c>
      <c r="Y78" s="9">
        <f>IF(AC78=0,J78,0)</f>
        <v>0</v>
      </c>
      <c r="Z78" s="9">
        <f>IF(AC78=15,J78,0)</f>
        <v>0</v>
      </c>
      <c r="AA78" s="9">
        <f>IF(AC78=21,J78,0)</f>
        <v>0</v>
      </c>
      <c r="AC78" s="14">
        <v>21</v>
      </c>
      <c r="AD78" s="14">
        <f>G78*0</f>
        <v>0</v>
      </c>
      <c r="AE78" s="14">
        <f>G78*(1-0)</f>
        <v>0</v>
      </c>
      <c r="AL78" s="14">
        <f>F78*AD78</f>
        <v>0</v>
      </c>
      <c r="AM78" s="14">
        <f>F78*AE78</f>
        <v>0</v>
      </c>
      <c r="AN78" s="15" t="s">
        <v>92</v>
      </c>
      <c r="AO78" s="15" t="s">
        <v>76</v>
      </c>
      <c r="AP78" s="25" t="s">
        <v>77</v>
      </c>
    </row>
    <row r="79" spans="1:42" x14ac:dyDescent="0.2">
      <c r="A79" s="262"/>
      <c r="B79" s="202"/>
      <c r="C79" s="202" t="s">
        <v>34</v>
      </c>
      <c r="D79" s="299" t="s">
        <v>35</v>
      </c>
      <c r="E79" s="300"/>
      <c r="F79" s="300"/>
      <c r="G79" s="300"/>
      <c r="H79" s="28">
        <f>SUM(H80:H81)</f>
        <v>0</v>
      </c>
      <c r="I79" s="28">
        <f>SUM(I80:I81)</f>
        <v>0</v>
      </c>
      <c r="J79" s="263">
        <f>H79+I79</f>
        <v>0</v>
      </c>
      <c r="K79" s="25"/>
      <c r="L79" s="28">
        <f>SUM(L80:L81)</f>
        <v>74</v>
      </c>
      <c r="O79" s="28">
        <f>IF(P79="PR",J79,SUM(N80:N81))</f>
        <v>0</v>
      </c>
      <c r="P79" s="25" t="s">
        <v>72</v>
      </c>
      <c r="Q79" s="28">
        <f>IF(P79="HS",H79,0)</f>
        <v>0</v>
      </c>
      <c r="R79" s="28">
        <f>IF(P79="HS",I79-O79,0)</f>
        <v>0</v>
      </c>
      <c r="S79" s="28">
        <f>IF(P79="PS",H79,0)</f>
        <v>0</v>
      </c>
      <c r="T79" s="28">
        <f>IF(P79="PS",I79-O79,0)</f>
        <v>0</v>
      </c>
      <c r="U79" s="28">
        <f>IF(P79="MP",H79,0)</f>
        <v>0</v>
      </c>
      <c r="V79" s="28">
        <f>IF(P79="MP",I79-O79,0)</f>
        <v>0</v>
      </c>
      <c r="W79" s="28">
        <f>IF(P79="OM",H79,0)</f>
        <v>0</v>
      </c>
      <c r="X79" s="25"/>
      <c r="AH79" s="28">
        <f>SUM(Y80:Y81)</f>
        <v>0</v>
      </c>
      <c r="AI79" s="28">
        <f>SUM(Z80:Z81)</f>
        <v>0</v>
      </c>
      <c r="AJ79" s="28">
        <f>SUM(AA80:AA81)</f>
        <v>0</v>
      </c>
    </row>
    <row r="80" spans="1:42" ht="24" x14ac:dyDescent="0.2">
      <c r="A80" s="215" t="s">
        <v>240</v>
      </c>
      <c r="B80" s="3"/>
      <c r="C80" s="3" t="s">
        <v>252</v>
      </c>
      <c r="D80" s="49" t="s">
        <v>338</v>
      </c>
      <c r="E80" s="3" t="s">
        <v>74</v>
      </c>
      <c r="F80" s="9">
        <v>185</v>
      </c>
      <c r="G80" s="9"/>
      <c r="H80" s="9"/>
      <c r="I80" s="9"/>
      <c r="J80" s="256">
        <f>ROUND(F80*G80,2)</f>
        <v>0</v>
      </c>
      <c r="K80" s="9">
        <v>0.27994000000000002</v>
      </c>
      <c r="L80" s="9">
        <f>F80*0.2</f>
        <v>37</v>
      </c>
      <c r="M80" s="11" t="s">
        <v>73</v>
      </c>
      <c r="N80" s="9">
        <f>IF(M80="5",I80,0)</f>
        <v>0</v>
      </c>
      <c r="Y80" s="9">
        <f>IF(AC80=0,J80,0)</f>
        <v>0</v>
      </c>
      <c r="Z80" s="9">
        <f>IF(AC80=15,J80,0)</f>
        <v>0</v>
      </c>
      <c r="AA80" s="9">
        <f>IF(AC80=21,J80,0)</f>
        <v>0</v>
      </c>
      <c r="AC80" s="14">
        <v>21</v>
      </c>
      <c r="AD80" s="14">
        <f>G80*0.838262387278193</f>
        <v>0</v>
      </c>
      <c r="AE80" s="14">
        <f>G80*(1-0.838262387278193)</f>
        <v>0</v>
      </c>
      <c r="AL80" s="14">
        <f>F80*AD80</f>
        <v>0</v>
      </c>
      <c r="AM80" s="14">
        <f>F80*AE80</f>
        <v>0</v>
      </c>
      <c r="AN80" s="15" t="s">
        <v>254</v>
      </c>
      <c r="AO80" s="15" t="s">
        <v>255</v>
      </c>
      <c r="AP80" s="25" t="s">
        <v>77</v>
      </c>
    </row>
    <row r="81" spans="1:42" ht="24.75" thickBot="1" x14ac:dyDescent="0.25">
      <c r="A81" s="215" t="s">
        <v>243</v>
      </c>
      <c r="B81" s="3"/>
      <c r="C81" s="3" t="s">
        <v>256</v>
      </c>
      <c r="D81" s="49" t="s">
        <v>339</v>
      </c>
      <c r="E81" s="3" t="s">
        <v>74</v>
      </c>
      <c r="F81" s="9">
        <v>185</v>
      </c>
      <c r="G81" s="9"/>
      <c r="H81" s="9"/>
      <c r="I81" s="9"/>
      <c r="J81" s="256">
        <f>ROUND(F81*G81,2)</f>
        <v>0</v>
      </c>
      <c r="K81" s="9">
        <v>0.25094</v>
      </c>
      <c r="L81" s="9">
        <f>F81*0.2</f>
        <v>37</v>
      </c>
      <c r="M81" s="11" t="s">
        <v>73</v>
      </c>
      <c r="N81" s="9">
        <f>IF(M81="5",I81,0)</f>
        <v>0</v>
      </c>
      <c r="Y81" s="9">
        <f>IF(AC81=0,J81,0)</f>
        <v>0</v>
      </c>
      <c r="Z81" s="9">
        <f>IF(AC81=15,J81,0)</f>
        <v>0</v>
      </c>
      <c r="AA81" s="9">
        <f>IF(AC81=21,J81,0)</f>
        <v>0</v>
      </c>
      <c r="AC81" s="14">
        <v>21</v>
      </c>
      <c r="AD81" s="14">
        <f>G81*0.822922374429224</f>
        <v>0</v>
      </c>
      <c r="AE81" s="14">
        <f>G81*(1-0.822922374429224)</f>
        <v>0</v>
      </c>
      <c r="AL81" s="14">
        <f>F81*AD81</f>
        <v>0</v>
      </c>
      <c r="AM81" s="14">
        <f>F81*AE81</f>
        <v>0</v>
      </c>
      <c r="AN81" s="15" t="s">
        <v>254</v>
      </c>
      <c r="AO81" s="15" t="s">
        <v>255</v>
      </c>
      <c r="AP81" s="25" t="s">
        <v>77</v>
      </c>
    </row>
    <row r="82" spans="1:42" s="43" customFormat="1" ht="13.5" thickBot="1" x14ac:dyDescent="0.25">
      <c r="A82" s="40"/>
      <c r="B82" s="41"/>
      <c r="C82" s="41"/>
      <c r="D82" s="50" t="s">
        <v>282</v>
      </c>
      <c r="E82" s="41"/>
      <c r="F82" s="42"/>
      <c r="G82" s="42"/>
      <c r="H82" s="42"/>
      <c r="I82" s="42"/>
      <c r="J82" s="44">
        <f>J76+J79</f>
        <v>0</v>
      </c>
      <c r="K82" s="42"/>
      <c r="L82" s="44"/>
      <c r="M82" s="35"/>
      <c r="N82" s="34"/>
      <c r="Y82" s="34"/>
      <c r="Z82" s="34"/>
      <c r="AA82" s="34"/>
      <c r="AC82" s="37"/>
      <c r="AD82" s="37"/>
      <c r="AE82" s="37"/>
      <c r="AL82" s="37"/>
      <c r="AM82" s="37"/>
      <c r="AN82" s="38"/>
      <c r="AO82" s="38"/>
      <c r="AP82" s="39"/>
    </row>
    <row r="83" spans="1:42" ht="13.5" thickBot="1" x14ac:dyDescent="0.25">
      <c r="A83" s="274"/>
      <c r="B83" s="275"/>
      <c r="C83" s="275"/>
      <c r="D83" s="228"/>
      <c r="E83" s="275"/>
      <c r="F83" s="275"/>
      <c r="G83" s="275"/>
      <c r="H83" s="310" t="s">
        <v>263</v>
      </c>
      <c r="I83" s="310"/>
      <c r="J83" s="169">
        <f>J82+J74</f>
        <v>0</v>
      </c>
      <c r="K83" s="275"/>
      <c r="L83" s="276"/>
      <c r="Y83" s="14">
        <f>SUM(Y8:Y82)</f>
        <v>0</v>
      </c>
      <c r="Z83" s="14">
        <f>SUM(Z8:Z82)</f>
        <v>0</v>
      </c>
      <c r="AA83" s="14">
        <f>SUM(AA8:AA82)</f>
        <v>0</v>
      </c>
    </row>
    <row r="84" spans="1:42" ht="13.5" thickBot="1" x14ac:dyDescent="0.25">
      <c r="D84" s="266" t="s">
        <v>411</v>
      </c>
    </row>
    <row r="85" spans="1:42" x14ac:dyDescent="0.2">
      <c r="D85" s="267" t="s">
        <v>412</v>
      </c>
      <c r="E85" s="120" t="s">
        <v>416</v>
      </c>
      <c r="F85" s="268">
        <v>2017</v>
      </c>
    </row>
    <row r="86" spans="1:42" x14ac:dyDescent="0.2">
      <c r="D86" s="269" t="s">
        <v>413</v>
      </c>
      <c r="E86" s="101" t="s">
        <v>416</v>
      </c>
      <c r="F86" s="270">
        <f>F23+F25</f>
        <v>1598</v>
      </c>
    </row>
    <row r="87" spans="1:42" x14ac:dyDescent="0.2">
      <c r="D87" s="269" t="s">
        <v>414</v>
      </c>
      <c r="E87" s="101" t="s">
        <v>130</v>
      </c>
      <c r="F87" s="270">
        <f>F33</f>
        <v>24</v>
      </c>
    </row>
    <row r="88" spans="1:42" x14ac:dyDescent="0.2">
      <c r="D88" s="269" t="s">
        <v>415</v>
      </c>
      <c r="E88" s="101" t="s">
        <v>130</v>
      </c>
      <c r="F88" s="270">
        <f>F50+F48</f>
        <v>1121</v>
      </c>
    </row>
    <row r="89" spans="1:42" ht="13.5" thickBot="1" x14ac:dyDescent="0.25">
      <c r="D89" s="271" t="s">
        <v>417</v>
      </c>
      <c r="E89" s="272" t="s">
        <v>416</v>
      </c>
      <c r="F89" s="273">
        <v>419</v>
      </c>
    </row>
    <row r="90" spans="1:42" x14ac:dyDescent="0.2">
      <c r="D90" s="1"/>
    </row>
  </sheetData>
  <mergeCells count="10">
    <mergeCell ref="A1:J1"/>
    <mergeCell ref="H2:J2"/>
    <mergeCell ref="K2:L2"/>
    <mergeCell ref="D5:G5"/>
    <mergeCell ref="D10:G10"/>
    <mergeCell ref="D24:I24"/>
    <mergeCell ref="H83:I83"/>
    <mergeCell ref="D79:G79"/>
    <mergeCell ref="D76:G76"/>
    <mergeCell ref="D12:G12"/>
  </mergeCells>
  <pageMargins left="0.70866141732283472" right="0.70866141732283472" top="0.78740157480314965" bottom="0.78740157480314965" header="0.31496062992125984" footer="0.31496062992125984"/>
  <pageSetup paperSize="9" scale="91" fitToHeight="0" orientation="landscape" horizontalDpi="4294967294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100"/>
  <sheetViews>
    <sheetView workbookViewId="0">
      <selection activeCell="D12" sqref="D12"/>
    </sheetView>
  </sheetViews>
  <sheetFormatPr defaultColWidth="11.5703125" defaultRowHeight="12.75" x14ac:dyDescent="0.2"/>
  <cols>
    <col min="1" max="1" width="3.7109375" style="147" customWidth="1"/>
    <col min="2" max="2" width="7" style="147" customWidth="1"/>
    <col min="3" max="3" width="13.28515625" style="147" customWidth="1"/>
    <col min="4" max="4" width="47.28515625" style="31" customWidth="1"/>
    <col min="5" max="5" width="4.28515625" style="147" customWidth="1"/>
    <col min="6" max="6" width="11" style="147" customWidth="1"/>
    <col min="7" max="7" width="12" style="147" customWidth="1"/>
    <col min="8" max="8" width="10.85546875" style="147" customWidth="1"/>
    <col min="9" max="9" width="10.140625" style="147" customWidth="1"/>
    <col min="10" max="10" width="12.28515625" style="147" customWidth="1"/>
    <col min="11" max="11" width="0" style="147" hidden="1" customWidth="1"/>
    <col min="12" max="44" width="12.140625" style="147" hidden="1" customWidth="1"/>
    <col min="45" max="16384" width="11.5703125" style="147"/>
  </cols>
  <sheetData>
    <row r="1" spans="1:45" ht="24" thickBot="1" x14ac:dyDescent="0.4">
      <c r="A1" s="324" t="s">
        <v>423</v>
      </c>
      <c r="B1" s="324"/>
      <c r="C1" s="324"/>
      <c r="D1" s="324"/>
      <c r="E1" s="324"/>
      <c r="F1" s="324"/>
      <c r="G1" s="324"/>
      <c r="H1" s="180"/>
      <c r="I1" s="180"/>
      <c r="J1" s="180"/>
    </row>
    <row r="2" spans="1:45" ht="24" thickBot="1" x14ac:dyDescent="0.4">
      <c r="A2" s="240"/>
      <c r="B2" s="241"/>
      <c r="C2" s="241"/>
      <c r="D2" s="242" t="s">
        <v>410</v>
      </c>
      <c r="E2" s="241"/>
      <c r="F2" s="241"/>
      <c r="G2" s="241"/>
      <c r="H2" s="320">
        <f>J25</f>
        <v>0</v>
      </c>
      <c r="I2" s="320"/>
      <c r="J2" s="321"/>
    </row>
    <row r="3" spans="1:45" x14ac:dyDescent="0.2">
      <c r="A3" s="148" t="s">
        <v>50</v>
      </c>
      <c r="B3" s="149" t="s">
        <v>13</v>
      </c>
      <c r="C3" s="149" t="s">
        <v>18</v>
      </c>
      <c r="D3" s="47" t="s">
        <v>51</v>
      </c>
      <c r="E3" s="149" t="s">
        <v>52</v>
      </c>
      <c r="F3" s="150" t="s">
        <v>53</v>
      </c>
      <c r="G3" s="151" t="s">
        <v>54</v>
      </c>
      <c r="H3" s="314" t="s">
        <v>55</v>
      </c>
      <c r="I3" s="315"/>
      <c r="J3" s="316"/>
      <c r="K3" s="162"/>
    </row>
    <row r="4" spans="1:45" ht="13.5" thickBot="1" x14ac:dyDescent="0.25">
      <c r="A4" s="153" t="s">
        <v>57</v>
      </c>
      <c r="B4" s="154" t="s">
        <v>57</v>
      </c>
      <c r="C4" s="154" t="s">
        <v>57</v>
      </c>
      <c r="D4" s="48" t="s">
        <v>58</v>
      </c>
      <c r="E4" s="154" t="s">
        <v>57</v>
      </c>
      <c r="F4" s="154" t="s">
        <v>57</v>
      </c>
      <c r="G4" s="155" t="s">
        <v>59</v>
      </c>
      <c r="H4" s="156" t="s">
        <v>60</v>
      </c>
      <c r="I4" s="157" t="s">
        <v>8</v>
      </c>
      <c r="J4" s="158" t="s">
        <v>61</v>
      </c>
      <c r="K4" s="162"/>
      <c r="M4" s="159" t="s">
        <v>62</v>
      </c>
      <c r="N4" s="159" t="s">
        <v>63</v>
      </c>
      <c r="O4" s="159" t="s">
        <v>64</v>
      </c>
      <c r="P4" s="159" t="s">
        <v>65</v>
      </c>
      <c r="Q4" s="159" t="s">
        <v>66</v>
      </c>
      <c r="R4" s="159" t="s">
        <v>67</v>
      </c>
      <c r="S4" s="159" t="s">
        <v>68</v>
      </c>
      <c r="T4" s="159" t="s">
        <v>69</v>
      </c>
      <c r="U4" s="159" t="s">
        <v>70</v>
      </c>
    </row>
    <row r="5" spans="1:45" x14ac:dyDescent="0.2">
      <c r="A5" s="246"/>
      <c r="B5" s="206" t="s">
        <v>71</v>
      </c>
      <c r="C5" s="206" t="s">
        <v>23</v>
      </c>
      <c r="D5" s="49"/>
      <c r="E5" s="206"/>
      <c r="F5" s="206"/>
      <c r="G5" s="160"/>
      <c r="H5" s="161"/>
      <c r="I5" s="161"/>
      <c r="J5" s="247"/>
      <c r="K5" s="162"/>
      <c r="M5" s="159"/>
      <c r="N5" s="159"/>
      <c r="O5" s="159"/>
      <c r="P5" s="159"/>
      <c r="Q5" s="159"/>
      <c r="R5" s="159"/>
      <c r="S5" s="159"/>
      <c r="T5" s="159"/>
      <c r="U5" s="159"/>
    </row>
    <row r="6" spans="1:45" x14ac:dyDescent="0.2">
      <c r="A6" s="248"/>
      <c r="B6" s="205"/>
      <c r="C6" s="205" t="s">
        <v>28</v>
      </c>
      <c r="D6" s="308" t="s">
        <v>29</v>
      </c>
      <c r="E6" s="309"/>
      <c r="F6" s="309"/>
      <c r="G6" s="309"/>
      <c r="H6" s="163">
        <f>SUM(H7:H24)</f>
        <v>0</v>
      </c>
      <c r="I6" s="163">
        <f>SUM(I7:I24)</f>
        <v>0</v>
      </c>
      <c r="J6" s="249">
        <f>H6+I6</f>
        <v>0</v>
      </c>
      <c r="M6" s="163">
        <f>IF(N6="PR",J6,SUM(L7:L24))</f>
        <v>0</v>
      </c>
      <c r="N6" s="159" t="s">
        <v>72</v>
      </c>
      <c r="O6" s="163">
        <f>IF(N6="HS",H6,0)</f>
        <v>0</v>
      </c>
      <c r="P6" s="163">
        <f>IF(N6="HS",I6-M6,0)</f>
        <v>0</v>
      </c>
      <c r="Q6" s="163">
        <f>IF(N6="PS",H6,0)</f>
        <v>0</v>
      </c>
      <c r="R6" s="163">
        <f>IF(N6="PS",I6-M6,0)</f>
        <v>0</v>
      </c>
      <c r="S6" s="163">
        <f>IF(N6="MP",H6,0)</f>
        <v>0</v>
      </c>
      <c r="T6" s="163">
        <f>IF(N6="MP",I6-M6,0)</f>
        <v>0</v>
      </c>
      <c r="U6" s="163">
        <f>IF(N6="OM",H6,0)</f>
        <v>0</v>
      </c>
      <c r="V6" s="159"/>
      <c r="AF6" s="163">
        <f>SUM(W7:W24)</f>
        <v>0</v>
      </c>
      <c r="AG6" s="163">
        <f>SUM(X7:X24)</f>
        <v>0</v>
      </c>
      <c r="AH6" s="163">
        <f>SUM(Y7:Y24)</f>
        <v>0</v>
      </c>
    </row>
    <row r="7" spans="1:45" x14ac:dyDescent="0.2">
      <c r="A7" s="246" t="s">
        <v>73</v>
      </c>
      <c r="B7" s="206"/>
      <c r="C7" s="206" t="s">
        <v>90</v>
      </c>
      <c r="D7" s="49" t="s">
        <v>91</v>
      </c>
      <c r="E7" s="206" t="s">
        <v>74</v>
      </c>
      <c r="F7" s="164">
        <v>35</v>
      </c>
      <c r="G7" s="164"/>
      <c r="H7" s="164"/>
      <c r="I7" s="164"/>
      <c r="J7" s="250">
        <f t="shared" ref="J7:J12" si="0">ROUND(F7*G7,2)</f>
        <v>0</v>
      </c>
      <c r="K7" s="160" t="s">
        <v>73</v>
      </c>
      <c r="L7" s="164">
        <f>IF(K7="5",I7,0)</f>
        <v>0</v>
      </c>
      <c r="W7" s="164">
        <f>IF(AA7=0,J7,0)</f>
        <v>0</v>
      </c>
      <c r="X7" s="164">
        <f>IF(AA7=15,J7,0)</f>
        <v>0</v>
      </c>
      <c r="Y7" s="164">
        <f>IF(AA7=21,J7,0)</f>
        <v>0</v>
      </c>
      <c r="AA7" s="164">
        <v>21</v>
      </c>
      <c r="AB7" s="164">
        <f>G7*0.0152671755725191</f>
        <v>0</v>
      </c>
      <c r="AC7" s="164">
        <f>G7*(1-0.0152671755725191)</f>
        <v>0</v>
      </c>
      <c r="AJ7" s="164">
        <f>F7*AB7</f>
        <v>0</v>
      </c>
      <c r="AK7" s="164">
        <f>F7*AC7</f>
        <v>0</v>
      </c>
      <c r="AL7" s="160" t="s">
        <v>92</v>
      </c>
      <c r="AM7" s="160" t="s">
        <v>76</v>
      </c>
      <c r="AN7" s="159" t="s">
        <v>77</v>
      </c>
    </row>
    <row r="8" spans="1:45" x14ac:dyDescent="0.2">
      <c r="A8" s="246" t="s">
        <v>78</v>
      </c>
      <c r="B8" s="206"/>
      <c r="C8" s="206"/>
      <c r="D8" s="49" t="s">
        <v>264</v>
      </c>
      <c r="E8" s="206" t="s">
        <v>95</v>
      </c>
      <c r="F8" s="164">
        <f>F7*0.001</f>
        <v>3.5000000000000003E-2</v>
      </c>
      <c r="G8" s="164"/>
      <c r="H8" s="164"/>
      <c r="I8" s="164"/>
      <c r="J8" s="250">
        <f>ROUND(F8*G8,2)</f>
        <v>0</v>
      </c>
      <c r="K8" s="160"/>
      <c r="L8" s="164"/>
      <c r="W8" s="164"/>
      <c r="X8" s="164"/>
      <c r="Y8" s="164"/>
      <c r="AA8" s="164"/>
      <c r="AB8" s="164"/>
      <c r="AC8" s="164"/>
      <c r="AJ8" s="164"/>
      <c r="AK8" s="164"/>
      <c r="AL8" s="160"/>
      <c r="AM8" s="160"/>
      <c r="AN8" s="159"/>
      <c r="AS8" s="165"/>
    </row>
    <row r="9" spans="1:45" x14ac:dyDescent="0.2">
      <c r="A9" s="246" t="s">
        <v>85</v>
      </c>
      <c r="B9" s="206"/>
      <c r="C9" s="206" t="s">
        <v>105</v>
      </c>
      <c r="D9" s="49" t="s">
        <v>265</v>
      </c>
      <c r="E9" s="206" t="s">
        <v>74</v>
      </c>
      <c r="F9" s="164">
        <v>35</v>
      </c>
      <c r="G9" s="164"/>
      <c r="H9" s="164"/>
      <c r="I9" s="164"/>
      <c r="J9" s="250">
        <f t="shared" si="0"/>
        <v>0</v>
      </c>
      <c r="K9" s="160" t="s">
        <v>73</v>
      </c>
      <c r="L9" s="164">
        <f>IF(K9="5",I9,0)</f>
        <v>0</v>
      </c>
      <c r="W9" s="164">
        <f>IF(AA9=0,J9,0)</f>
        <v>0</v>
      </c>
      <c r="X9" s="164">
        <f>IF(AA9=15,J9,0)</f>
        <v>0</v>
      </c>
      <c r="Y9" s="164">
        <f>IF(AA9=21,J9,0)</f>
        <v>0</v>
      </c>
      <c r="AA9" s="164">
        <v>21</v>
      </c>
      <c r="AB9" s="164">
        <f>G9*0</f>
        <v>0</v>
      </c>
      <c r="AC9" s="164">
        <f>G9*(1-0)</f>
        <v>0</v>
      </c>
      <c r="AJ9" s="164">
        <f>F9*AB9</f>
        <v>0</v>
      </c>
      <c r="AK9" s="164">
        <f>F9*AC9</f>
        <v>0</v>
      </c>
      <c r="AL9" s="160" t="s">
        <v>92</v>
      </c>
      <c r="AM9" s="160" t="s">
        <v>76</v>
      </c>
      <c r="AN9" s="159" t="s">
        <v>77</v>
      </c>
    </row>
    <row r="10" spans="1:45" x14ac:dyDescent="0.2">
      <c r="A10" s="246" t="s">
        <v>82</v>
      </c>
      <c r="B10" s="206"/>
      <c r="C10" s="206" t="s">
        <v>108</v>
      </c>
      <c r="D10" s="49" t="s">
        <v>109</v>
      </c>
      <c r="E10" s="206" t="s">
        <v>74</v>
      </c>
      <c r="F10" s="164">
        <v>35</v>
      </c>
      <c r="G10" s="164"/>
      <c r="H10" s="164"/>
      <c r="I10" s="164"/>
      <c r="J10" s="250">
        <f t="shared" si="0"/>
        <v>0</v>
      </c>
      <c r="K10" s="160" t="s">
        <v>73</v>
      </c>
      <c r="L10" s="164">
        <f>IF(K10="5",I10,0)</f>
        <v>0</v>
      </c>
      <c r="W10" s="164">
        <f>IF(AA10=0,J10,0)</f>
        <v>0</v>
      </c>
      <c r="X10" s="164">
        <f>IF(AA10=15,J10,0)</f>
        <v>0</v>
      </c>
      <c r="Y10" s="164">
        <f>IF(AA10=21,J10,0)</f>
        <v>0</v>
      </c>
      <c r="AA10" s="164">
        <v>21</v>
      </c>
      <c r="AB10" s="164">
        <f>G10*0</f>
        <v>0</v>
      </c>
      <c r="AC10" s="164">
        <f>G10*(1-0)</f>
        <v>0</v>
      </c>
      <c r="AJ10" s="164">
        <f>F10*AB10</f>
        <v>0</v>
      </c>
      <c r="AK10" s="164">
        <f>F10*AC10</f>
        <v>0</v>
      </c>
      <c r="AL10" s="160" t="s">
        <v>92</v>
      </c>
      <c r="AM10" s="160" t="s">
        <v>76</v>
      </c>
      <c r="AN10" s="159" t="s">
        <v>77</v>
      </c>
    </row>
    <row r="11" spans="1:45" x14ac:dyDescent="0.2">
      <c r="A11" s="246" t="s">
        <v>87</v>
      </c>
      <c r="B11" s="206"/>
      <c r="C11" s="206" t="s">
        <v>108</v>
      </c>
      <c r="D11" s="49" t="s">
        <v>266</v>
      </c>
      <c r="E11" s="206" t="s">
        <v>74</v>
      </c>
      <c r="F11" s="164">
        <v>35</v>
      </c>
      <c r="G11" s="164"/>
      <c r="H11" s="164"/>
      <c r="I11" s="164"/>
      <c r="J11" s="250">
        <f t="shared" si="0"/>
        <v>0</v>
      </c>
      <c r="K11" s="160" t="s">
        <v>73</v>
      </c>
      <c r="L11" s="164">
        <f>IF(K11="5",I11,0)</f>
        <v>0</v>
      </c>
      <c r="W11" s="164">
        <f>IF(AA11=0,J11,0)</f>
        <v>0</v>
      </c>
      <c r="X11" s="164">
        <f>IF(AA11=15,J11,0)</f>
        <v>0</v>
      </c>
      <c r="Y11" s="164">
        <f>IF(AA11=21,J11,0)</f>
        <v>0</v>
      </c>
      <c r="AA11" s="164">
        <v>21</v>
      </c>
      <c r="AB11" s="164">
        <f>G11*0</f>
        <v>0</v>
      </c>
      <c r="AC11" s="164">
        <f>G11*(1-0)</f>
        <v>0</v>
      </c>
      <c r="AJ11" s="164">
        <f>F11*AB11</f>
        <v>0</v>
      </c>
      <c r="AK11" s="164">
        <f>F11*AC11</f>
        <v>0</v>
      </c>
      <c r="AL11" s="160" t="s">
        <v>92</v>
      </c>
      <c r="AM11" s="160" t="s">
        <v>76</v>
      </c>
      <c r="AN11" s="159" t="s">
        <v>77</v>
      </c>
    </row>
    <row r="12" spans="1:45" ht="24" x14ac:dyDescent="0.2">
      <c r="A12" s="246" t="s">
        <v>89</v>
      </c>
      <c r="B12" s="206"/>
      <c r="C12" s="206" t="s">
        <v>90</v>
      </c>
      <c r="D12" s="49" t="s">
        <v>267</v>
      </c>
      <c r="E12" s="206" t="s">
        <v>74</v>
      </c>
      <c r="F12" s="164">
        <v>35</v>
      </c>
      <c r="G12" s="164"/>
      <c r="H12" s="164"/>
      <c r="I12" s="164"/>
      <c r="J12" s="250">
        <f t="shared" si="0"/>
        <v>0</v>
      </c>
      <c r="K12" s="160" t="s">
        <v>73</v>
      </c>
      <c r="L12" s="164">
        <f>IF(K12="5",I12,0)</f>
        <v>0</v>
      </c>
      <c r="W12" s="164">
        <f>IF(AA12=0,J12,0)</f>
        <v>0</v>
      </c>
      <c r="X12" s="164">
        <f>IF(AA12=15,J12,0)</f>
        <v>0</v>
      </c>
      <c r="Y12" s="164">
        <f>IF(AA12=21,J12,0)</f>
        <v>0</v>
      </c>
      <c r="AA12" s="164">
        <v>21</v>
      </c>
      <c r="AB12" s="164">
        <f>G12*0.0152671755725191</f>
        <v>0</v>
      </c>
      <c r="AC12" s="164">
        <f>G12*(1-0.0152671755725191)</f>
        <v>0</v>
      </c>
      <c r="AJ12" s="164">
        <f>F12*AB12</f>
        <v>0</v>
      </c>
      <c r="AK12" s="164">
        <f>F12*AC12</f>
        <v>0</v>
      </c>
      <c r="AL12" s="160" t="s">
        <v>92</v>
      </c>
      <c r="AM12" s="160" t="s">
        <v>76</v>
      </c>
      <c r="AN12" s="159" t="s">
        <v>77</v>
      </c>
    </row>
    <row r="13" spans="1:45" x14ac:dyDescent="0.2">
      <c r="A13" s="246" t="s">
        <v>93</v>
      </c>
      <c r="B13" s="206"/>
      <c r="C13" s="206"/>
      <c r="D13" s="49" t="s">
        <v>94</v>
      </c>
      <c r="E13" s="206" t="s">
        <v>95</v>
      </c>
      <c r="F13" s="164">
        <f>F12*0.001</f>
        <v>3.5000000000000003E-2</v>
      </c>
      <c r="G13" s="164"/>
      <c r="H13" s="164"/>
      <c r="I13" s="164"/>
      <c r="J13" s="250">
        <f>ROUND(F13*G13,2)</f>
        <v>0</v>
      </c>
      <c r="K13" s="160"/>
      <c r="L13" s="164"/>
      <c r="W13" s="164"/>
      <c r="X13" s="164"/>
      <c r="Y13" s="164"/>
      <c r="AA13" s="164"/>
      <c r="AB13" s="164"/>
      <c r="AC13" s="164"/>
      <c r="AJ13" s="164"/>
      <c r="AK13" s="164"/>
      <c r="AL13" s="160"/>
      <c r="AM13" s="160"/>
      <c r="AN13" s="159"/>
    </row>
    <row r="14" spans="1:45" x14ac:dyDescent="0.2">
      <c r="A14" s="246" t="s">
        <v>96</v>
      </c>
      <c r="B14" s="206"/>
      <c r="C14" s="206" t="s">
        <v>154</v>
      </c>
      <c r="D14" s="49" t="s">
        <v>268</v>
      </c>
      <c r="E14" s="206" t="s">
        <v>74</v>
      </c>
      <c r="F14" s="164">
        <v>35</v>
      </c>
      <c r="G14" s="164"/>
      <c r="H14" s="164"/>
      <c r="I14" s="164"/>
      <c r="J14" s="250">
        <f>ROUND(F14*G14,2)</f>
        <v>0</v>
      </c>
      <c r="K14" s="160" t="s">
        <v>73</v>
      </c>
      <c r="L14" s="164">
        <f t="shared" ref="L14:L24" si="1">IF(K14="5",I14,0)</f>
        <v>0</v>
      </c>
      <c r="W14" s="164">
        <f t="shared" ref="W14:W24" si="2">IF(AA14=0,J14,0)</f>
        <v>0</v>
      </c>
      <c r="X14" s="164">
        <f t="shared" ref="X14:X24" si="3">IF(AA14=15,J14,0)</f>
        <v>0</v>
      </c>
      <c r="Y14" s="164">
        <f t="shared" ref="Y14:Y24" si="4">IF(AA14=21,J14,0)</f>
        <v>0</v>
      </c>
      <c r="AA14" s="164">
        <v>21</v>
      </c>
      <c r="AB14" s="164">
        <f>G14*0</f>
        <v>0</v>
      </c>
      <c r="AC14" s="164">
        <f>G14*(1-0)</f>
        <v>0</v>
      </c>
      <c r="AJ14" s="164">
        <f t="shared" ref="AJ14:AJ24" si="5">F14*AB14</f>
        <v>0</v>
      </c>
      <c r="AK14" s="164">
        <f t="shared" ref="AK14:AK24" si="6">F14*AC14</f>
        <v>0</v>
      </c>
      <c r="AL14" s="160" t="s">
        <v>92</v>
      </c>
      <c r="AM14" s="160" t="s">
        <v>76</v>
      </c>
      <c r="AN14" s="159" t="s">
        <v>77</v>
      </c>
    </row>
    <row r="15" spans="1:45" x14ac:dyDescent="0.2">
      <c r="A15" s="246" t="s">
        <v>98</v>
      </c>
      <c r="B15" s="206"/>
      <c r="C15" s="206" t="s">
        <v>157</v>
      </c>
      <c r="D15" s="49" t="s">
        <v>269</v>
      </c>
      <c r="E15" s="206" t="s">
        <v>84</v>
      </c>
      <c r="F15" s="164">
        <v>3.4</v>
      </c>
      <c r="G15" s="164"/>
      <c r="H15" s="164"/>
      <c r="I15" s="164"/>
      <c r="J15" s="250">
        <f>ROUND(F15*G15,2)</f>
        <v>0</v>
      </c>
      <c r="K15" s="160" t="s">
        <v>101</v>
      </c>
      <c r="L15" s="164">
        <f t="shared" si="1"/>
        <v>0</v>
      </c>
      <c r="W15" s="164">
        <f t="shared" si="2"/>
        <v>0</v>
      </c>
      <c r="X15" s="164">
        <f t="shared" si="3"/>
        <v>0</v>
      </c>
      <c r="Y15" s="164">
        <f t="shared" si="4"/>
        <v>0</v>
      </c>
      <c r="AA15" s="164">
        <v>21</v>
      </c>
      <c r="AB15" s="164">
        <f>G15*1</f>
        <v>0</v>
      </c>
      <c r="AC15" s="164">
        <f>G15*(1-1)</f>
        <v>0</v>
      </c>
      <c r="AJ15" s="164">
        <f t="shared" si="5"/>
        <v>0</v>
      </c>
      <c r="AK15" s="164">
        <f t="shared" si="6"/>
        <v>0</v>
      </c>
      <c r="AL15" s="160" t="s">
        <v>92</v>
      </c>
      <c r="AM15" s="160" t="s">
        <v>76</v>
      </c>
      <c r="AN15" s="159" t="s">
        <v>77</v>
      </c>
    </row>
    <row r="16" spans="1:45" ht="24" x14ac:dyDescent="0.2">
      <c r="A16" s="246" t="s">
        <v>102</v>
      </c>
      <c r="B16" s="206"/>
      <c r="C16" s="206" t="s">
        <v>159</v>
      </c>
      <c r="D16" s="49" t="s">
        <v>160</v>
      </c>
      <c r="E16" s="206" t="s">
        <v>81</v>
      </c>
      <c r="F16" s="164">
        <f>F18</f>
        <v>330</v>
      </c>
      <c r="G16" s="164"/>
      <c r="H16" s="164"/>
      <c r="I16" s="164"/>
      <c r="J16" s="250">
        <f t="shared" ref="J16:J23" si="7">ROUND(F16*G16,2)</f>
        <v>0</v>
      </c>
      <c r="K16" s="160" t="s">
        <v>73</v>
      </c>
      <c r="L16" s="164">
        <f t="shared" si="1"/>
        <v>0</v>
      </c>
      <c r="W16" s="164">
        <f t="shared" si="2"/>
        <v>0</v>
      </c>
      <c r="X16" s="164">
        <f t="shared" si="3"/>
        <v>0</v>
      </c>
      <c r="Y16" s="164">
        <f t="shared" si="4"/>
        <v>0</v>
      </c>
      <c r="AA16" s="164">
        <v>21</v>
      </c>
      <c r="AB16" s="164">
        <f>G16*0</f>
        <v>0</v>
      </c>
      <c r="AC16" s="164">
        <f>G16*(1-0)</f>
        <v>0</v>
      </c>
      <c r="AJ16" s="164">
        <f t="shared" si="5"/>
        <v>0</v>
      </c>
      <c r="AK16" s="164">
        <f t="shared" si="6"/>
        <v>0</v>
      </c>
      <c r="AL16" s="160" t="s">
        <v>92</v>
      </c>
      <c r="AM16" s="160" t="s">
        <v>76</v>
      </c>
      <c r="AN16" s="159" t="s">
        <v>77</v>
      </c>
    </row>
    <row r="17" spans="1:40" ht="24" x14ac:dyDescent="0.2">
      <c r="A17" s="246" t="s">
        <v>24</v>
      </c>
      <c r="B17" s="206"/>
      <c r="C17" s="206" t="s">
        <v>164</v>
      </c>
      <c r="D17" s="49" t="s">
        <v>165</v>
      </c>
      <c r="E17" s="206" t="s">
        <v>81</v>
      </c>
      <c r="F17" s="164">
        <f>F23</f>
        <v>10</v>
      </c>
      <c r="G17" s="164"/>
      <c r="H17" s="164"/>
      <c r="I17" s="164"/>
      <c r="J17" s="250">
        <f t="shared" si="7"/>
        <v>0</v>
      </c>
      <c r="K17" s="160" t="s">
        <v>73</v>
      </c>
      <c r="L17" s="164">
        <f t="shared" si="1"/>
        <v>0</v>
      </c>
      <c r="W17" s="164">
        <f t="shared" si="2"/>
        <v>0</v>
      </c>
      <c r="X17" s="164">
        <f t="shared" si="3"/>
        <v>0</v>
      </c>
      <c r="Y17" s="164">
        <f t="shared" si="4"/>
        <v>0</v>
      </c>
      <c r="AA17" s="164">
        <v>21</v>
      </c>
      <c r="AB17" s="164">
        <f>G17*0</f>
        <v>0</v>
      </c>
      <c r="AC17" s="164">
        <f>G17*(1-0)</f>
        <v>0</v>
      </c>
      <c r="AJ17" s="164">
        <f t="shared" si="5"/>
        <v>0</v>
      </c>
      <c r="AK17" s="164">
        <f t="shared" si="6"/>
        <v>0</v>
      </c>
      <c r="AL17" s="160" t="s">
        <v>92</v>
      </c>
      <c r="AM17" s="160" t="s">
        <v>76</v>
      </c>
      <c r="AN17" s="159" t="s">
        <v>77</v>
      </c>
    </row>
    <row r="18" spans="1:40" x14ac:dyDescent="0.2">
      <c r="A18" s="246" t="s">
        <v>26</v>
      </c>
      <c r="B18" s="206"/>
      <c r="C18" s="206" t="s">
        <v>169</v>
      </c>
      <c r="D18" s="49" t="s">
        <v>170</v>
      </c>
      <c r="E18" s="206" t="s">
        <v>81</v>
      </c>
      <c r="F18" s="164">
        <f>F19+F20+F21+F22</f>
        <v>330</v>
      </c>
      <c r="G18" s="164"/>
      <c r="H18" s="164"/>
      <c r="I18" s="164"/>
      <c r="J18" s="250">
        <f t="shared" si="7"/>
        <v>0</v>
      </c>
      <c r="K18" s="160" t="s">
        <v>73</v>
      </c>
      <c r="L18" s="164">
        <f t="shared" si="1"/>
        <v>0</v>
      </c>
      <c r="W18" s="164">
        <f t="shared" si="2"/>
        <v>0</v>
      </c>
      <c r="X18" s="164">
        <f t="shared" si="3"/>
        <v>0</v>
      </c>
      <c r="Y18" s="164">
        <f t="shared" si="4"/>
        <v>0</v>
      </c>
      <c r="AA18" s="164">
        <v>21</v>
      </c>
      <c r="AB18" s="164">
        <f>G18*0.0162866449511401</f>
        <v>0</v>
      </c>
      <c r="AC18" s="164">
        <f>G18*(1-0.0162866449511401)</f>
        <v>0</v>
      </c>
      <c r="AJ18" s="164">
        <f t="shared" si="5"/>
        <v>0</v>
      </c>
      <c r="AK18" s="164">
        <f t="shared" si="6"/>
        <v>0</v>
      </c>
      <c r="AL18" s="160" t="s">
        <v>92</v>
      </c>
      <c r="AM18" s="160" t="s">
        <v>76</v>
      </c>
      <c r="AN18" s="159" t="s">
        <v>77</v>
      </c>
    </row>
    <row r="19" spans="1:40" x14ac:dyDescent="0.2">
      <c r="A19" s="246" t="s">
        <v>107</v>
      </c>
      <c r="B19" s="206"/>
      <c r="C19" s="206"/>
      <c r="D19" s="251" t="s">
        <v>270</v>
      </c>
      <c r="E19" s="206" t="s">
        <v>130</v>
      </c>
      <c r="F19" s="164">
        <v>105</v>
      </c>
      <c r="G19" s="164"/>
      <c r="H19" s="164"/>
      <c r="I19" s="164"/>
      <c r="J19" s="250">
        <f t="shared" si="7"/>
        <v>0</v>
      </c>
      <c r="K19" s="160" t="s">
        <v>101</v>
      </c>
      <c r="L19" s="164">
        <f t="shared" si="1"/>
        <v>0</v>
      </c>
      <c r="W19" s="164">
        <f t="shared" si="2"/>
        <v>0</v>
      </c>
      <c r="X19" s="164">
        <f t="shared" si="3"/>
        <v>0</v>
      </c>
      <c r="Y19" s="164">
        <f t="shared" si="4"/>
        <v>0</v>
      </c>
      <c r="AA19" s="164">
        <v>21</v>
      </c>
      <c r="AB19" s="164">
        <f>G19*1</f>
        <v>0</v>
      </c>
      <c r="AC19" s="164">
        <f>G19*(1-1)</f>
        <v>0</v>
      </c>
      <c r="AJ19" s="164">
        <f t="shared" si="5"/>
        <v>0</v>
      </c>
      <c r="AK19" s="164">
        <f t="shared" si="6"/>
        <v>0</v>
      </c>
      <c r="AL19" s="160" t="s">
        <v>92</v>
      </c>
      <c r="AM19" s="160" t="s">
        <v>76</v>
      </c>
      <c r="AN19" s="159" t="s">
        <v>77</v>
      </c>
    </row>
    <row r="20" spans="1:40" x14ac:dyDescent="0.2">
      <c r="A20" s="246" t="s">
        <v>110</v>
      </c>
      <c r="B20" s="206"/>
      <c r="C20" s="206"/>
      <c r="D20" s="49" t="s">
        <v>174</v>
      </c>
      <c r="E20" s="206" t="s">
        <v>130</v>
      </c>
      <c r="F20" s="164">
        <v>65</v>
      </c>
      <c r="G20" s="164"/>
      <c r="H20" s="164"/>
      <c r="I20" s="164"/>
      <c r="J20" s="250">
        <f t="shared" si="7"/>
        <v>0</v>
      </c>
      <c r="K20" s="160" t="s">
        <v>101</v>
      </c>
      <c r="L20" s="164">
        <f t="shared" si="1"/>
        <v>0</v>
      </c>
      <c r="W20" s="164">
        <f t="shared" si="2"/>
        <v>0</v>
      </c>
      <c r="X20" s="164">
        <f t="shared" si="3"/>
        <v>0</v>
      </c>
      <c r="Y20" s="164">
        <f t="shared" si="4"/>
        <v>0</v>
      </c>
      <c r="AA20" s="164">
        <v>21</v>
      </c>
      <c r="AB20" s="164">
        <f>G20*1</f>
        <v>0</v>
      </c>
      <c r="AC20" s="164">
        <f>G20*(1-1)</f>
        <v>0</v>
      </c>
      <c r="AJ20" s="164">
        <f t="shared" si="5"/>
        <v>0</v>
      </c>
      <c r="AK20" s="164">
        <f t="shared" si="6"/>
        <v>0</v>
      </c>
      <c r="AL20" s="160" t="s">
        <v>92</v>
      </c>
      <c r="AM20" s="160" t="s">
        <v>76</v>
      </c>
      <c r="AN20" s="159" t="s">
        <v>77</v>
      </c>
    </row>
    <row r="21" spans="1:40" x14ac:dyDescent="0.2">
      <c r="A21" s="246" t="s">
        <v>111</v>
      </c>
      <c r="B21" s="206"/>
      <c r="C21" s="206"/>
      <c r="D21" s="49" t="s">
        <v>271</v>
      </c>
      <c r="E21" s="206" t="s">
        <v>130</v>
      </c>
      <c r="F21" s="164">
        <v>70</v>
      </c>
      <c r="G21" s="164"/>
      <c r="H21" s="164"/>
      <c r="I21" s="164"/>
      <c r="J21" s="250">
        <f>ROUND(F21*G21,2)</f>
        <v>0</v>
      </c>
      <c r="K21" s="160" t="s">
        <v>101</v>
      </c>
      <c r="L21" s="164">
        <f t="shared" si="1"/>
        <v>0</v>
      </c>
      <c r="W21" s="164">
        <f t="shared" si="2"/>
        <v>0</v>
      </c>
      <c r="X21" s="164">
        <f t="shared" si="3"/>
        <v>0</v>
      </c>
      <c r="Y21" s="164">
        <f t="shared" si="4"/>
        <v>0</v>
      </c>
      <c r="AA21" s="164">
        <v>21</v>
      </c>
      <c r="AB21" s="164">
        <f>G21*1</f>
        <v>0</v>
      </c>
      <c r="AC21" s="164">
        <f>G21*(1-1)</f>
        <v>0</v>
      </c>
      <c r="AJ21" s="164">
        <f t="shared" si="5"/>
        <v>0</v>
      </c>
      <c r="AK21" s="164">
        <f t="shared" si="6"/>
        <v>0</v>
      </c>
      <c r="AL21" s="160" t="s">
        <v>92</v>
      </c>
      <c r="AM21" s="160" t="s">
        <v>76</v>
      </c>
      <c r="AN21" s="159" t="s">
        <v>77</v>
      </c>
    </row>
    <row r="22" spans="1:40" x14ac:dyDescent="0.2">
      <c r="A22" s="246" t="s">
        <v>114</v>
      </c>
      <c r="B22" s="206"/>
      <c r="C22" s="206"/>
      <c r="D22" s="49" t="s">
        <v>272</v>
      </c>
      <c r="E22" s="206" t="s">
        <v>130</v>
      </c>
      <c r="F22" s="164">
        <v>90</v>
      </c>
      <c r="G22" s="164"/>
      <c r="H22" s="164"/>
      <c r="I22" s="164"/>
      <c r="J22" s="250">
        <f t="shared" si="7"/>
        <v>0</v>
      </c>
      <c r="K22" s="160" t="s">
        <v>101</v>
      </c>
      <c r="L22" s="164">
        <f t="shared" si="1"/>
        <v>0</v>
      </c>
      <c r="W22" s="164">
        <f t="shared" si="2"/>
        <v>0</v>
      </c>
      <c r="X22" s="164">
        <f t="shared" si="3"/>
        <v>0</v>
      </c>
      <c r="Y22" s="164">
        <f t="shared" si="4"/>
        <v>0</v>
      </c>
      <c r="AA22" s="164">
        <v>21</v>
      </c>
      <c r="AB22" s="164">
        <f>G22*1</f>
        <v>0</v>
      </c>
      <c r="AC22" s="164">
        <f>G22*(1-1)</f>
        <v>0</v>
      </c>
      <c r="AJ22" s="164">
        <f t="shared" si="5"/>
        <v>0</v>
      </c>
      <c r="AK22" s="164">
        <f t="shared" si="6"/>
        <v>0</v>
      </c>
      <c r="AL22" s="160" t="s">
        <v>92</v>
      </c>
      <c r="AM22" s="160" t="s">
        <v>76</v>
      </c>
      <c r="AN22" s="159" t="s">
        <v>77</v>
      </c>
    </row>
    <row r="23" spans="1:40" x14ac:dyDescent="0.2">
      <c r="A23" s="246" t="s">
        <v>115</v>
      </c>
      <c r="B23" s="206"/>
      <c r="C23" s="206" t="s">
        <v>180</v>
      </c>
      <c r="D23" s="49" t="s">
        <v>181</v>
      </c>
      <c r="E23" s="206" t="s">
        <v>81</v>
      </c>
      <c r="F23" s="164">
        <v>10</v>
      </c>
      <c r="G23" s="164"/>
      <c r="H23" s="164"/>
      <c r="I23" s="164"/>
      <c r="J23" s="250">
        <f t="shared" si="7"/>
        <v>0</v>
      </c>
      <c r="K23" s="160" t="s">
        <v>73</v>
      </c>
      <c r="L23" s="164">
        <f t="shared" si="1"/>
        <v>0</v>
      </c>
      <c r="W23" s="164">
        <f t="shared" si="2"/>
        <v>0</v>
      </c>
      <c r="X23" s="164">
        <f t="shared" si="3"/>
        <v>0</v>
      </c>
      <c r="Y23" s="164">
        <f t="shared" si="4"/>
        <v>0</v>
      </c>
      <c r="AA23" s="164">
        <v>21</v>
      </c>
      <c r="AB23" s="164">
        <f>G23*0.0126849894291755</f>
        <v>0</v>
      </c>
      <c r="AC23" s="164">
        <f>G23*(1-0.0126849894291755)</f>
        <v>0</v>
      </c>
      <c r="AJ23" s="164">
        <f t="shared" si="5"/>
        <v>0</v>
      </c>
      <c r="AK23" s="164">
        <f t="shared" si="6"/>
        <v>0</v>
      </c>
      <c r="AL23" s="160" t="s">
        <v>92</v>
      </c>
      <c r="AM23" s="160" t="s">
        <v>76</v>
      </c>
      <c r="AN23" s="159" t="s">
        <v>77</v>
      </c>
    </row>
    <row r="24" spans="1:40" ht="13.5" thickBot="1" x14ac:dyDescent="0.25">
      <c r="A24" s="246" t="s">
        <v>28</v>
      </c>
      <c r="B24" s="206"/>
      <c r="C24" s="206"/>
      <c r="D24" s="49" t="s">
        <v>273</v>
      </c>
      <c r="E24" s="206" t="s">
        <v>130</v>
      </c>
      <c r="F24" s="164">
        <v>10</v>
      </c>
      <c r="G24" s="164"/>
      <c r="H24" s="164"/>
      <c r="I24" s="164"/>
      <c r="J24" s="250">
        <f>ROUND(F24*G24,2)</f>
        <v>0</v>
      </c>
      <c r="K24" s="160" t="s">
        <v>101</v>
      </c>
      <c r="L24" s="164">
        <f t="shared" si="1"/>
        <v>0</v>
      </c>
      <c r="W24" s="164">
        <f t="shared" si="2"/>
        <v>0</v>
      </c>
      <c r="X24" s="164">
        <f t="shared" si="3"/>
        <v>0</v>
      </c>
      <c r="Y24" s="164">
        <f t="shared" si="4"/>
        <v>0</v>
      </c>
      <c r="AA24" s="164">
        <v>21</v>
      </c>
      <c r="AB24" s="164">
        <f>G24*1</f>
        <v>0</v>
      </c>
      <c r="AC24" s="164">
        <f>G24*(1-1)</f>
        <v>0</v>
      </c>
      <c r="AJ24" s="164">
        <f t="shared" si="5"/>
        <v>0</v>
      </c>
      <c r="AK24" s="164">
        <f t="shared" si="6"/>
        <v>0</v>
      </c>
      <c r="AL24" s="160" t="s">
        <v>92</v>
      </c>
      <c r="AM24" s="160" t="s">
        <v>76</v>
      </c>
      <c r="AN24" s="159" t="s">
        <v>77</v>
      </c>
    </row>
    <row r="25" spans="1:40" s="172" customFormat="1" ht="13.5" thickBot="1" x14ac:dyDescent="0.25">
      <c r="A25" s="166"/>
      <c r="B25" s="167"/>
      <c r="C25" s="167"/>
      <c r="D25" s="50" t="s">
        <v>247</v>
      </c>
      <c r="E25" s="167"/>
      <c r="F25" s="168"/>
      <c r="G25" s="168"/>
      <c r="H25" s="168"/>
      <c r="I25" s="168"/>
      <c r="J25" s="169">
        <f>J6</f>
        <v>0</v>
      </c>
      <c r="K25" s="170"/>
      <c r="L25" s="171"/>
      <c r="W25" s="171"/>
      <c r="X25" s="171"/>
      <c r="Y25" s="171"/>
      <c r="AA25" s="171"/>
      <c r="AB25" s="171"/>
      <c r="AC25" s="171"/>
      <c r="AJ25" s="171"/>
      <c r="AK25" s="171"/>
      <c r="AL25" s="170"/>
      <c r="AM25" s="170"/>
      <c r="AN25" s="173"/>
    </row>
    <row r="26" spans="1:40" ht="24" thickBot="1" x14ac:dyDescent="0.4">
      <c r="A26" s="252"/>
      <c r="B26" s="253"/>
      <c r="C26" s="253"/>
      <c r="D26" s="254" t="s">
        <v>393</v>
      </c>
      <c r="E26" s="253"/>
      <c r="F26" s="253"/>
      <c r="G26" s="253"/>
      <c r="H26" s="320">
        <f>J30+J58+J60+J63+J32</f>
        <v>0</v>
      </c>
      <c r="I26" s="320"/>
      <c r="J26" s="321"/>
    </row>
    <row r="27" spans="1:40" x14ac:dyDescent="0.2">
      <c r="A27" s="148" t="s">
        <v>50</v>
      </c>
      <c r="B27" s="149" t="s">
        <v>13</v>
      </c>
      <c r="C27" s="149" t="s">
        <v>18</v>
      </c>
      <c r="D27" s="47" t="s">
        <v>51</v>
      </c>
      <c r="E27" s="149" t="s">
        <v>52</v>
      </c>
      <c r="F27" s="150" t="s">
        <v>53</v>
      </c>
      <c r="G27" s="151" t="s">
        <v>54</v>
      </c>
      <c r="H27" s="314" t="s">
        <v>55</v>
      </c>
      <c r="I27" s="315"/>
      <c r="J27" s="316"/>
      <c r="K27" s="162"/>
    </row>
    <row r="28" spans="1:40" ht="13.5" thickBot="1" x14ac:dyDescent="0.25">
      <c r="A28" s="153" t="s">
        <v>57</v>
      </c>
      <c r="B28" s="154" t="s">
        <v>57</v>
      </c>
      <c r="C28" s="154" t="s">
        <v>57</v>
      </c>
      <c r="D28" s="48" t="s">
        <v>58</v>
      </c>
      <c r="E28" s="154" t="s">
        <v>57</v>
      </c>
      <c r="F28" s="154" t="s">
        <v>57</v>
      </c>
      <c r="G28" s="155" t="s">
        <v>59</v>
      </c>
      <c r="H28" s="156" t="s">
        <v>60</v>
      </c>
      <c r="I28" s="157" t="s">
        <v>8</v>
      </c>
      <c r="J28" s="158" t="s">
        <v>61</v>
      </c>
      <c r="K28" s="162"/>
      <c r="M28" s="159" t="s">
        <v>62</v>
      </c>
      <c r="N28" s="159" t="s">
        <v>63</v>
      </c>
      <c r="O28" s="159" t="s">
        <v>64</v>
      </c>
      <c r="P28" s="159" t="s">
        <v>65</v>
      </c>
      <c r="Q28" s="159" t="s">
        <v>66</v>
      </c>
      <c r="R28" s="159" t="s">
        <v>67</v>
      </c>
      <c r="S28" s="159" t="s">
        <v>68</v>
      </c>
      <c r="T28" s="159" t="s">
        <v>69</v>
      </c>
      <c r="U28" s="159" t="s">
        <v>70</v>
      </c>
    </row>
    <row r="29" spans="1:40" ht="13.5" thickBot="1" x14ac:dyDescent="0.25">
      <c r="A29" s="246"/>
      <c r="B29" s="206" t="s">
        <v>71</v>
      </c>
      <c r="C29" s="206" t="s">
        <v>23</v>
      </c>
      <c r="D29" s="49"/>
      <c r="E29" s="206"/>
      <c r="F29" s="206"/>
      <c r="G29" s="160"/>
      <c r="H29" s="161"/>
      <c r="I29" s="161"/>
      <c r="J29" s="247"/>
      <c r="K29" s="162"/>
      <c r="M29" s="159"/>
      <c r="N29" s="159"/>
      <c r="O29" s="159"/>
      <c r="P29" s="159"/>
      <c r="Q29" s="159"/>
      <c r="R29" s="159"/>
      <c r="S29" s="159"/>
      <c r="T29" s="159"/>
      <c r="U29" s="159"/>
    </row>
    <row r="30" spans="1:40" customFormat="1" x14ac:dyDescent="0.2">
      <c r="A30" s="213"/>
      <c r="B30" s="201"/>
      <c r="C30" s="201" t="s">
        <v>24</v>
      </c>
      <c r="D30" s="318" t="s">
        <v>25</v>
      </c>
      <c r="E30" s="319"/>
      <c r="F30" s="319"/>
      <c r="G30" s="319"/>
      <c r="H30" s="26">
        <f>SUM(H31:H31)</f>
        <v>0</v>
      </c>
      <c r="I30" s="26">
        <f>SUM(I31:I31)</f>
        <v>0</v>
      </c>
      <c r="J30" s="255">
        <f>H30+I30</f>
        <v>0</v>
      </c>
      <c r="M30" s="28">
        <f>IF(N30="PR",J30,SUM(L31:L31))</f>
        <v>0</v>
      </c>
      <c r="N30" s="25" t="s">
        <v>72</v>
      </c>
      <c r="O30" s="28">
        <f>IF(N30="HS",H30,0)</f>
        <v>0</v>
      </c>
      <c r="P30" s="28">
        <f>IF(N30="HS",I30-M30,0)</f>
        <v>0</v>
      </c>
      <c r="Q30" s="28">
        <f>IF(N30="PS",H30,0)</f>
        <v>0</v>
      </c>
      <c r="R30" s="28">
        <f>IF(N30="PS",I30-M30,0)</f>
        <v>0</v>
      </c>
      <c r="S30" s="28">
        <f>IF(N30="MP",H30,0)</f>
        <v>0</v>
      </c>
      <c r="T30" s="28">
        <f>IF(N30="MP",I30-M30,0)</f>
        <v>0</v>
      </c>
      <c r="U30" s="28">
        <f>IF(N30="OM",H30,0)</f>
        <v>0</v>
      </c>
      <c r="V30" s="25"/>
      <c r="AF30" s="28">
        <f>SUM(W31:W31)</f>
        <v>0</v>
      </c>
      <c r="AG30" s="28">
        <f>SUM(X31:X31)</f>
        <v>0</v>
      </c>
      <c r="AH30" s="28">
        <f>SUM(Y31:Y31)</f>
        <v>0</v>
      </c>
    </row>
    <row r="31" spans="1:40" ht="24" x14ac:dyDescent="0.2">
      <c r="A31" s="246" t="s">
        <v>119</v>
      </c>
      <c r="B31" s="206"/>
      <c r="C31" s="206" t="s">
        <v>79</v>
      </c>
      <c r="D31" s="49" t="s">
        <v>80</v>
      </c>
      <c r="E31" s="206" t="s">
        <v>81</v>
      </c>
      <c r="F31" s="164">
        <v>10</v>
      </c>
      <c r="G31" s="164"/>
      <c r="H31" s="164"/>
      <c r="I31" s="164"/>
      <c r="J31" s="250">
        <f>ROUND(F31*G31,2)</f>
        <v>0</v>
      </c>
      <c r="K31" s="160" t="s">
        <v>73</v>
      </c>
      <c r="L31" s="164">
        <f>IF(K31="5",I31,0)</f>
        <v>0</v>
      </c>
      <c r="W31" s="164">
        <f>IF(AA31=0,J31,0)</f>
        <v>0</v>
      </c>
      <c r="X31" s="164">
        <f>IF(AA31=15,J31,0)</f>
        <v>0</v>
      </c>
      <c r="Y31" s="164">
        <f>IF(AA31=21,J31,0)</f>
        <v>0</v>
      </c>
      <c r="AA31" s="164">
        <v>21</v>
      </c>
      <c r="AB31" s="164">
        <f>G31*0.00929230354858259</f>
        <v>0</v>
      </c>
      <c r="AC31" s="164">
        <f>G31*(1-0.00929230354858259)</f>
        <v>0</v>
      </c>
      <c r="AJ31" s="164">
        <f>F31*AB31</f>
        <v>0</v>
      </c>
      <c r="AK31" s="164">
        <f>F31*AC31</f>
        <v>0</v>
      </c>
      <c r="AL31" s="160" t="s">
        <v>75</v>
      </c>
      <c r="AM31" s="160" t="s">
        <v>76</v>
      </c>
      <c r="AN31" s="159" t="s">
        <v>77</v>
      </c>
    </row>
    <row r="32" spans="1:40" x14ac:dyDescent="0.2">
      <c r="A32" s="248"/>
      <c r="B32" s="205"/>
      <c r="C32" s="205" t="s">
        <v>28</v>
      </c>
      <c r="D32" s="308" t="s">
        <v>29</v>
      </c>
      <c r="E32" s="309"/>
      <c r="F32" s="309"/>
      <c r="G32" s="309"/>
      <c r="H32" s="163">
        <f>SUM(H33:H55)</f>
        <v>0</v>
      </c>
      <c r="I32" s="163">
        <f>SUM(I33:I55)</f>
        <v>0</v>
      </c>
      <c r="J32" s="249">
        <f>H32+I32</f>
        <v>0</v>
      </c>
      <c r="M32" s="163">
        <f>IF(N32="PR",J32,SUM(L35:L55))</f>
        <v>0</v>
      </c>
      <c r="N32" s="159" t="s">
        <v>72</v>
      </c>
      <c r="O32" s="163">
        <f>IF(N32="HS",H32,0)</f>
        <v>0</v>
      </c>
      <c r="P32" s="163">
        <f>IF(N32="HS",I32-M32,0)</f>
        <v>0</v>
      </c>
      <c r="Q32" s="163">
        <f>IF(N32="PS",H32,0)</f>
        <v>0</v>
      </c>
      <c r="R32" s="163">
        <f>IF(N32="PS",I32-M32,0)</f>
        <v>0</v>
      </c>
      <c r="S32" s="163">
        <f>IF(N32="MP",H32,0)</f>
        <v>0</v>
      </c>
      <c r="T32" s="163">
        <f>IF(N32="MP",I32-M32,0)</f>
        <v>0</v>
      </c>
      <c r="U32" s="163">
        <f>IF(N32="OM",H32,0)</f>
        <v>0</v>
      </c>
      <c r="V32" s="159"/>
      <c r="AF32" s="163">
        <f>SUM(W35:W55)</f>
        <v>0</v>
      </c>
      <c r="AG32" s="163">
        <f>SUM(X35:X55)</f>
        <v>0</v>
      </c>
      <c r="AH32" s="163">
        <f>SUM(Y35:Y55)</f>
        <v>0</v>
      </c>
    </row>
    <row r="33" spans="1:46" x14ac:dyDescent="0.2">
      <c r="A33" s="246" t="s">
        <v>121</v>
      </c>
      <c r="B33" s="206"/>
      <c r="C33" s="206" t="s">
        <v>90</v>
      </c>
      <c r="D33" s="49" t="s">
        <v>91</v>
      </c>
      <c r="E33" s="206" t="s">
        <v>74</v>
      </c>
      <c r="F33" s="164">
        <v>140</v>
      </c>
      <c r="G33" s="164"/>
      <c r="H33" s="164"/>
      <c r="I33" s="164"/>
      <c r="J33" s="250">
        <f t="shared" ref="J33:J38" si="8">ROUND(F33*G33,2)</f>
        <v>0</v>
      </c>
      <c r="K33" s="160" t="s">
        <v>73</v>
      </c>
      <c r="L33" s="164">
        <f>IF(K33="5",I33,0)</f>
        <v>0</v>
      </c>
      <c r="W33" s="164">
        <f>IF(AA33=0,J33,0)</f>
        <v>0</v>
      </c>
      <c r="X33" s="164">
        <f>IF(AA33=15,J33,0)</f>
        <v>0</v>
      </c>
      <c r="Y33" s="164">
        <f>IF(AA33=21,J33,0)</f>
        <v>0</v>
      </c>
      <c r="AA33" s="164">
        <v>21</v>
      </c>
      <c r="AB33" s="164">
        <f>G33*0.0152671755725191</f>
        <v>0</v>
      </c>
      <c r="AC33" s="164">
        <f>G33*(1-0.0152671755725191)</f>
        <v>0</v>
      </c>
      <c r="AJ33" s="164">
        <f>F33*AB33</f>
        <v>0</v>
      </c>
      <c r="AK33" s="164">
        <f>F33*AC33</f>
        <v>0</v>
      </c>
      <c r="AL33" s="160" t="s">
        <v>92</v>
      </c>
      <c r="AM33" s="160" t="s">
        <v>76</v>
      </c>
      <c r="AN33" s="159" t="s">
        <v>77</v>
      </c>
    </row>
    <row r="34" spans="1:46" x14ac:dyDescent="0.2">
      <c r="A34" s="246" t="s">
        <v>124</v>
      </c>
      <c r="B34" s="206"/>
      <c r="C34" s="206"/>
      <c r="D34" s="49" t="s">
        <v>94</v>
      </c>
      <c r="E34" s="206" t="s">
        <v>95</v>
      </c>
      <c r="F34" s="164">
        <f>F33*0.001</f>
        <v>0.14000000000000001</v>
      </c>
      <c r="G34" s="164"/>
      <c r="H34" s="164"/>
      <c r="I34" s="164"/>
      <c r="J34" s="250">
        <f t="shared" si="8"/>
        <v>0</v>
      </c>
      <c r="K34" s="160"/>
      <c r="L34" s="164"/>
      <c r="W34" s="164"/>
      <c r="X34" s="164"/>
      <c r="Y34" s="164"/>
      <c r="AA34" s="164"/>
      <c r="AB34" s="164"/>
      <c r="AC34" s="164"/>
      <c r="AJ34" s="164"/>
      <c r="AK34" s="164"/>
      <c r="AL34" s="160"/>
      <c r="AM34" s="160"/>
      <c r="AN34" s="159"/>
    </row>
    <row r="35" spans="1:46" x14ac:dyDescent="0.2">
      <c r="A35" s="246" t="s">
        <v>127</v>
      </c>
      <c r="B35" s="206"/>
      <c r="C35" s="206" t="s">
        <v>105</v>
      </c>
      <c r="D35" s="49" t="s">
        <v>265</v>
      </c>
      <c r="E35" s="206" t="s">
        <v>74</v>
      </c>
      <c r="F35" s="164">
        <v>140</v>
      </c>
      <c r="G35" s="164"/>
      <c r="H35" s="164"/>
      <c r="I35" s="164"/>
      <c r="J35" s="250">
        <f t="shared" si="8"/>
        <v>0</v>
      </c>
      <c r="K35" s="160" t="s">
        <v>73</v>
      </c>
      <c r="L35" s="164">
        <f>IF(K35="5",I35,0)</f>
        <v>0</v>
      </c>
      <c r="W35" s="164">
        <f>IF(AA35=0,J35,0)</f>
        <v>0</v>
      </c>
      <c r="X35" s="164">
        <f>IF(AA35=15,J35,0)</f>
        <v>0</v>
      </c>
      <c r="Y35" s="164">
        <f>IF(AA35=21,J35,0)</f>
        <v>0</v>
      </c>
      <c r="AA35" s="164">
        <v>21</v>
      </c>
      <c r="AB35" s="164">
        <f>G35*0</f>
        <v>0</v>
      </c>
      <c r="AC35" s="164">
        <f>G35*(1-0)</f>
        <v>0</v>
      </c>
      <c r="AJ35" s="164">
        <f>F35*AB35</f>
        <v>0</v>
      </c>
      <c r="AK35" s="164">
        <f>F35*AC35</f>
        <v>0</v>
      </c>
      <c r="AL35" s="160" t="s">
        <v>92</v>
      </c>
      <c r="AM35" s="160" t="s">
        <v>76</v>
      </c>
      <c r="AN35" s="159" t="s">
        <v>77</v>
      </c>
    </row>
    <row r="36" spans="1:46" x14ac:dyDescent="0.2">
      <c r="A36" s="246" t="s">
        <v>131</v>
      </c>
      <c r="B36" s="206"/>
      <c r="C36" s="206" t="s">
        <v>106</v>
      </c>
      <c r="D36" s="49" t="s">
        <v>274</v>
      </c>
      <c r="E36" s="206" t="s">
        <v>74</v>
      </c>
      <c r="F36" s="164">
        <v>140</v>
      </c>
      <c r="G36" s="164"/>
      <c r="H36" s="164"/>
      <c r="I36" s="164"/>
      <c r="J36" s="250">
        <f t="shared" si="8"/>
        <v>0</v>
      </c>
      <c r="K36" s="160" t="s">
        <v>73</v>
      </c>
      <c r="L36" s="164">
        <f>IF(K36="5",I36,0)</f>
        <v>0</v>
      </c>
      <c r="W36" s="164">
        <f>IF(AA36=0,J36,0)</f>
        <v>0</v>
      </c>
      <c r="X36" s="164">
        <f>IF(AA36=15,J36,0)</f>
        <v>0</v>
      </c>
      <c r="Y36" s="164">
        <f>IF(AA36=21,J36,0)</f>
        <v>0</v>
      </c>
      <c r="AA36" s="164">
        <v>21</v>
      </c>
      <c r="AB36" s="164">
        <f>G36*0</f>
        <v>0</v>
      </c>
      <c r="AC36" s="164">
        <f>G36*(1-0)</f>
        <v>0</v>
      </c>
      <c r="AJ36" s="164">
        <f>F36*AB36</f>
        <v>0</v>
      </c>
      <c r="AK36" s="164">
        <f>F36*AC36</f>
        <v>0</v>
      </c>
      <c r="AL36" s="160" t="s">
        <v>92</v>
      </c>
      <c r="AM36" s="160" t="s">
        <v>76</v>
      </c>
      <c r="AN36" s="159" t="s">
        <v>77</v>
      </c>
    </row>
    <row r="37" spans="1:46" x14ac:dyDescent="0.2">
      <c r="A37" s="246" t="s">
        <v>134</v>
      </c>
      <c r="B37" s="206"/>
      <c r="C37" s="206" t="s">
        <v>90</v>
      </c>
      <c r="D37" s="49" t="s">
        <v>91</v>
      </c>
      <c r="E37" s="206" t="s">
        <v>74</v>
      </c>
      <c r="F37" s="164">
        <v>140</v>
      </c>
      <c r="G37" s="164"/>
      <c r="H37" s="164"/>
      <c r="I37" s="164"/>
      <c r="J37" s="250">
        <f t="shared" si="8"/>
        <v>0</v>
      </c>
      <c r="K37" s="160" t="s">
        <v>73</v>
      </c>
      <c r="L37" s="164">
        <f>IF(K37="5",I37,0)</f>
        <v>0</v>
      </c>
      <c r="W37" s="164">
        <f>IF(AA37=0,J37,0)</f>
        <v>0</v>
      </c>
      <c r="X37" s="164">
        <f>IF(AA37=15,J37,0)</f>
        <v>0</v>
      </c>
      <c r="Y37" s="164">
        <f>IF(AA37=21,J37,0)</f>
        <v>0</v>
      </c>
      <c r="AA37" s="164">
        <v>21</v>
      </c>
      <c r="AB37" s="164">
        <f>G37*0.0152671755725191</f>
        <v>0</v>
      </c>
      <c r="AC37" s="164">
        <f>G37*(1-0.0152671755725191)</f>
        <v>0</v>
      </c>
      <c r="AJ37" s="164">
        <f>F37*AB37</f>
        <v>0</v>
      </c>
      <c r="AK37" s="164">
        <f>F37*AC37</f>
        <v>0</v>
      </c>
      <c r="AL37" s="160" t="s">
        <v>92</v>
      </c>
      <c r="AM37" s="160" t="s">
        <v>76</v>
      </c>
      <c r="AN37" s="159" t="s">
        <v>77</v>
      </c>
      <c r="AT37" s="165"/>
    </row>
    <row r="38" spans="1:46" x14ac:dyDescent="0.2">
      <c r="A38" s="246" t="s">
        <v>137</v>
      </c>
      <c r="B38" s="206"/>
      <c r="C38" s="206"/>
      <c r="D38" s="49" t="s">
        <v>94</v>
      </c>
      <c r="E38" s="206" t="s">
        <v>95</v>
      </c>
      <c r="F38" s="164">
        <f>F37*0.001</f>
        <v>0.14000000000000001</v>
      </c>
      <c r="G38" s="164"/>
      <c r="H38" s="164"/>
      <c r="I38" s="164"/>
      <c r="J38" s="250">
        <f t="shared" si="8"/>
        <v>0</v>
      </c>
      <c r="K38" s="160"/>
      <c r="L38" s="164"/>
      <c r="W38" s="164"/>
      <c r="X38" s="164"/>
      <c r="Y38" s="164"/>
      <c r="AA38" s="164"/>
      <c r="AB38" s="164"/>
      <c r="AC38" s="164"/>
      <c r="AJ38" s="164"/>
      <c r="AK38" s="164"/>
      <c r="AL38" s="160"/>
      <c r="AM38" s="160"/>
      <c r="AN38" s="159"/>
    </row>
    <row r="39" spans="1:46" ht="24" x14ac:dyDescent="0.2">
      <c r="A39" s="246" t="s">
        <v>141</v>
      </c>
      <c r="B39" s="206"/>
      <c r="C39" s="206" t="s">
        <v>159</v>
      </c>
      <c r="D39" s="49" t="s">
        <v>160</v>
      </c>
      <c r="E39" s="206" t="s">
        <v>81</v>
      </c>
      <c r="F39" s="164">
        <v>351</v>
      </c>
      <c r="G39" s="164"/>
      <c r="H39" s="164"/>
      <c r="I39" s="164"/>
      <c r="J39" s="250">
        <f t="shared" ref="J39:J55" si="9">ROUND(F39*G39,2)</f>
        <v>0</v>
      </c>
      <c r="K39" s="160" t="s">
        <v>73</v>
      </c>
      <c r="L39" s="164">
        <f t="shared" ref="L39:L55" si="10">IF(K39="5",I39,0)</f>
        <v>0</v>
      </c>
      <c r="W39" s="164">
        <f t="shared" ref="W39:W55" si="11">IF(AA39=0,J39,0)</f>
        <v>0</v>
      </c>
      <c r="X39" s="164">
        <f t="shared" ref="X39:X55" si="12">IF(AA39=15,J39,0)</f>
        <v>0</v>
      </c>
      <c r="Y39" s="164">
        <f t="shared" ref="Y39:Y55" si="13">IF(AA39=21,J39,0)</f>
        <v>0</v>
      </c>
      <c r="AA39" s="164">
        <v>21</v>
      </c>
      <c r="AB39" s="164">
        <f>G39*0</f>
        <v>0</v>
      </c>
      <c r="AC39" s="164">
        <f>G39*(1-0)</f>
        <v>0</v>
      </c>
      <c r="AJ39" s="164">
        <f t="shared" ref="AJ39:AJ55" si="14">F39*AB39</f>
        <v>0</v>
      </c>
      <c r="AK39" s="164">
        <f t="shared" ref="AK39:AK55" si="15">F39*AC39</f>
        <v>0</v>
      </c>
      <c r="AL39" s="160" t="s">
        <v>92</v>
      </c>
      <c r="AM39" s="160" t="s">
        <v>76</v>
      </c>
      <c r="AN39" s="159" t="s">
        <v>77</v>
      </c>
    </row>
    <row r="40" spans="1:46" ht="24" x14ac:dyDescent="0.2">
      <c r="A40" s="246" t="s">
        <v>144</v>
      </c>
      <c r="B40" s="206"/>
      <c r="C40" s="206" t="s">
        <v>164</v>
      </c>
      <c r="D40" s="49" t="s">
        <v>165</v>
      </c>
      <c r="E40" s="206" t="s">
        <v>81</v>
      </c>
      <c r="F40" s="164">
        <v>60</v>
      </c>
      <c r="G40" s="164"/>
      <c r="H40" s="164"/>
      <c r="I40" s="164"/>
      <c r="J40" s="250">
        <f t="shared" si="9"/>
        <v>0</v>
      </c>
      <c r="K40" s="160" t="s">
        <v>73</v>
      </c>
      <c r="L40" s="164">
        <f t="shared" si="10"/>
        <v>0</v>
      </c>
      <c r="W40" s="164">
        <f t="shared" si="11"/>
        <v>0</v>
      </c>
      <c r="X40" s="164">
        <f t="shared" si="12"/>
        <v>0</v>
      </c>
      <c r="Y40" s="164">
        <f t="shared" si="13"/>
        <v>0</v>
      </c>
      <c r="AA40" s="164">
        <v>21</v>
      </c>
      <c r="AB40" s="164">
        <f>G40*0</f>
        <v>0</v>
      </c>
      <c r="AC40" s="164">
        <f>G40*(1-0)</f>
        <v>0</v>
      </c>
      <c r="AJ40" s="164">
        <f t="shared" si="14"/>
        <v>0</v>
      </c>
      <c r="AK40" s="164">
        <f t="shared" si="15"/>
        <v>0</v>
      </c>
      <c r="AL40" s="160" t="s">
        <v>92</v>
      </c>
      <c r="AM40" s="160" t="s">
        <v>76</v>
      </c>
      <c r="AN40" s="159" t="s">
        <v>77</v>
      </c>
    </row>
    <row r="41" spans="1:46" x14ac:dyDescent="0.2">
      <c r="A41" s="246" t="s">
        <v>147</v>
      </c>
      <c r="B41" s="206"/>
      <c r="C41" s="206" t="s">
        <v>169</v>
      </c>
      <c r="D41" s="49" t="s">
        <v>170</v>
      </c>
      <c r="E41" s="206" t="s">
        <v>81</v>
      </c>
      <c r="F41" s="164">
        <f>SUM(F42:F45)</f>
        <v>351</v>
      </c>
      <c r="G41" s="164"/>
      <c r="H41" s="164"/>
      <c r="I41" s="164"/>
      <c r="J41" s="250">
        <f t="shared" si="9"/>
        <v>0</v>
      </c>
      <c r="K41" s="160" t="s">
        <v>73</v>
      </c>
      <c r="L41" s="164">
        <f t="shared" si="10"/>
        <v>0</v>
      </c>
      <c r="W41" s="164">
        <f t="shared" si="11"/>
        <v>0</v>
      </c>
      <c r="X41" s="164">
        <f t="shared" si="12"/>
        <v>0</v>
      </c>
      <c r="Y41" s="164">
        <f t="shared" si="13"/>
        <v>0</v>
      </c>
      <c r="AA41" s="164">
        <v>21</v>
      </c>
      <c r="AB41" s="164">
        <f>G41*0.0162866449511401</f>
        <v>0</v>
      </c>
      <c r="AC41" s="164">
        <f>G41*(1-0.0162866449511401)</f>
        <v>0</v>
      </c>
      <c r="AJ41" s="164">
        <f t="shared" si="14"/>
        <v>0</v>
      </c>
      <c r="AK41" s="164">
        <f t="shared" si="15"/>
        <v>0</v>
      </c>
      <c r="AL41" s="160" t="s">
        <v>92</v>
      </c>
      <c r="AM41" s="160" t="s">
        <v>76</v>
      </c>
      <c r="AN41" s="159" t="s">
        <v>77</v>
      </c>
    </row>
    <row r="42" spans="1:46" x14ac:dyDescent="0.2">
      <c r="A42" s="246" t="s">
        <v>150</v>
      </c>
      <c r="B42" s="206"/>
      <c r="C42" s="206"/>
      <c r="D42" s="251" t="s">
        <v>172</v>
      </c>
      <c r="E42" s="206" t="s">
        <v>130</v>
      </c>
      <c r="F42" s="164">
        <v>20</v>
      </c>
      <c r="G42" s="164"/>
      <c r="H42" s="164"/>
      <c r="I42" s="164"/>
      <c r="J42" s="250">
        <f t="shared" si="9"/>
        <v>0</v>
      </c>
      <c r="K42" s="160" t="s">
        <v>101</v>
      </c>
      <c r="L42" s="164">
        <f t="shared" si="10"/>
        <v>0</v>
      </c>
      <c r="W42" s="164">
        <f t="shared" si="11"/>
        <v>0</v>
      </c>
      <c r="X42" s="164">
        <f t="shared" si="12"/>
        <v>0</v>
      </c>
      <c r="Y42" s="164">
        <f t="shared" si="13"/>
        <v>0</v>
      </c>
      <c r="AA42" s="164">
        <v>21</v>
      </c>
      <c r="AB42" s="164">
        <f>G42*1</f>
        <v>0</v>
      </c>
      <c r="AC42" s="164">
        <f>G42*(1-1)</f>
        <v>0</v>
      </c>
      <c r="AJ42" s="164">
        <f t="shared" si="14"/>
        <v>0</v>
      </c>
      <c r="AK42" s="164">
        <f t="shared" si="15"/>
        <v>0</v>
      </c>
      <c r="AL42" s="160" t="s">
        <v>92</v>
      </c>
      <c r="AM42" s="160" t="s">
        <v>76</v>
      </c>
      <c r="AN42" s="159" t="s">
        <v>77</v>
      </c>
    </row>
    <row r="43" spans="1:46" x14ac:dyDescent="0.2">
      <c r="A43" s="246" t="s">
        <v>153</v>
      </c>
      <c r="B43" s="206"/>
      <c r="C43" s="206"/>
      <c r="D43" s="49" t="s">
        <v>174</v>
      </c>
      <c r="E43" s="206" t="s">
        <v>130</v>
      </c>
      <c r="F43" s="164">
        <v>35</v>
      </c>
      <c r="G43" s="164"/>
      <c r="H43" s="164"/>
      <c r="I43" s="164"/>
      <c r="J43" s="250">
        <f t="shared" si="9"/>
        <v>0</v>
      </c>
      <c r="K43" s="160" t="s">
        <v>101</v>
      </c>
      <c r="L43" s="164">
        <f t="shared" si="10"/>
        <v>0</v>
      </c>
      <c r="W43" s="164">
        <f t="shared" si="11"/>
        <v>0</v>
      </c>
      <c r="X43" s="164">
        <f t="shared" si="12"/>
        <v>0</v>
      </c>
      <c r="Y43" s="164">
        <f t="shared" si="13"/>
        <v>0</v>
      </c>
      <c r="AA43" s="164">
        <v>21</v>
      </c>
      <c r="AB43" s="164">
        <f>G43*1</f>
        <v>0</v>
      </c>
      <c r="AC43" s="164">
        <f>G43*(1-1)</f>
        <v>0</v>
      </c>
      <c r="AJ43" s="164">
        <f t="shared" si="14"/>
        <v>0</v>
      </c>
      <c r="AK43" s="164">
        <f t="shared" si="15"/>
        <v>0</v>
      </c>
      <c r="AL43" s="160" t="s">
        <v>92</v>
      </c>
      <c r="AM43" s="160" t="s">
        <v>76</v>
      </c>
      <c r="AN43" s="159" t="s">
        <v>77</v>
      </c>
    </row>
    <row r="44" spans="1:46" x14ac:dyDescent="0.2">
      <c r="A44" s="246" t="s">
        <v>156</v>
      </c>
      <c r="B44" s="206"/>
      <c r="C44" s="206"/>
      <c r="D44" s="49" t="s">
        <v>176</v>
      </c>
      <c r="E44" s="206" t="s">
        <v>130</v>
      </c>
      <c r="F44" s="164">
        <v>40</v>
      </c>
      <c r="G44" s="164"/>
      <c r="H44" s="164"/>
      <c r="I44" s="164"/>
      <c r="J44" s="250">
        <f>ROUND(F44*G44,2)</f>
        <v>0</v>
      </c>
      <c r="K44" s="160" t="s">
        <v>101</v>
      </c>
      <c r="L44" s="164">
        <f t="shared" si="10"/>
        <v>0</v>
      </c>
      <c r="W44" s="164">
        <f t="shared" si="11"/>
        <v>0</v>
      </c>
      <c r="X44" s="164">
        <f t="shared" si="12"/>
        <v>0</v>
      </c>
      <c r="Y44" s="164">
        <f t="shared" si="13"/>
        <v>0</v>
      </c>
      <c r="AA44" s="164">
        <v>21</v>
      </c>
      <c r="AB44" s="164">
        <f>G44*1</f>
        <v>0</v>
      </c>
      <c r="AC44" s="164">
        <f>G44*(1-1)</f>
        <v>0</v>
      </c>
      <c r="AJ44" s="164">
        <f t="shared" si="14"/>
        <v>0</v>
      </c>
      <c r="AK44" s="164">
        <f t="shared" si="15"/>
        <v>0</v>
      </c>
      <c r="AL44" s="160" t="s">
        <v>92</v>
      </c>
      <c r="AM44" s="160" t="s">
        <v>76</v>
      </c>
      <c r="AN44" s="159" t="s">
        <v>77</v>
      </c>
    </row>
    <row r="45" spans="1:46" x14ac:dyDescent="0.2">
      <c r="A45" s="246" t="s">
        <v>158</v>
      </c>
      <c r="B45" s="206"/>
      <c r="C45" s="206"/>
      <c r="D45" s="49" t="s">
        <v>178</v>
      </c>
      <c r="E45" s="206" t="s">
        <v>130</v>
      </c>
      <c r="F45" s="164">
        <v>256</v>
      </c>
      <c r="G45" s="164"/>
      <c r="H45" s="164"/>
      <c r="I45" s="164"/>
      <c r="J45" s="250">
        <f t="shared" si="9"/>
        <v>0</v>
      </c>
      <c r="K45" s="160" t="s">
        <v>101</v>
      </c>
      <c r="L45" s="164">
        <f t="shared" si="10"/>
        <v>0</v>
      </c>
      <c r="W45" s="164">
        <f t="shared" si="11"/>
        <v>0</v>
      </c>
      <c r="X45" s="164">
        <f t="shared" si="12"/>
        <v>0</v>
      </c>
      <c r="Y45" s="164">
        <f t="shared" si="13"/>
        <v>0</v>
      </c>
      <c r="AA45" s="164">
        <v>21</v>
      </c>
      <c r="AB45" s="164">
        <f>G45*1</f>
        <v>0</v>
      </c>
      <c r="AC45" s="164">
        <f>G45*(1-1)</f>
        <v>0</v>
      </c>
      <c r="AJ45" s="164">
        <f t="shared" si="14"/>
        <v>0</v>
      </c>
      <c r="AK45" s="164">
        <f t="shared" si="15"/>
        <v>0</v>
      </c>
      <c r="AL45" s="160" t="s">
        <v>92</v>
      </c>
      <c r="AM45" s="160" t="s">
        <v>76</v>
      </c>
      <c r="AN45" s="159" t="s">
        <v>77</v>
      </c>
    </row>
    <row r="46" spans="1:46" x14ac:dyDescent="0.2">
      <c r="A46" s="246" t="s">
        <v>161</v>
      </c>
      <c r="B46" s="206"/>
      <c r="C46" s="206" t="s">
        <v>180</v>
      </c>
      <c r="D46" s="49" t="s">
        <v>181</v>
      </c>
      <c r="E46" s="206" t="s">
        <v>81</v>
      </c>
      <c r="F46" s="164">
        <v>60</v>
      </c>
      <c r="G46" s="164"/>
      <c r="H46" s="164"/>
      <c r="I46" s="164"/>
      <c r="J46" s="250">
        <f>ROUND(F46*G46,2)</f>
        <v>0</v>
      </c>
      <c r="K46" s="160" t="s">
        <v>73</v>
      </c>
      <c r="L46" s="164">
        <f t="shared" si="10"/>
        <v>0</v>
      </c>
      <c r="W46" s="164">
        <f t="shared" si="11"/>
        <v>0</v>
      </c>
      <c r="X46" s="164">
        <f t="shared" si="12"/>
        <v>0</v>
      </c>
      <c r="Y46" s="164">
        <f t="shared" si="13"/>
        <v>0</v>
      </c>
      <c r="AA46" s="164">
        <v>21</v>
      </c>
      <c r="AB46" s="164">
        <f>G46*0.0126849894291755</f>
        <v>0</v>
      </c>
      <c r="AC46" s="164">
        <f>G46*(1-0.0126849894291755)</f>
        <v>0</v>
      </c>
      <c r="AJ46" s="164">
        <f t="shared" si="14"/>
        <v>0</v>
      </c>
      <c r="AK46" s="164">
        <f t="shared" si="15"/>
        <v>0</v>
      </c>
      <c r="AL46" s="160" t="s">
        <v>92</v>
      </c>
      <c r="AM46" s="160" t="s">
        <v>76</v>
      </c>
      <c r="AN46" s="159" t="s">
        <v>77</v>
      </c>
    </row>
    <row r="47" spans="1:46" x14ac:dyDescent="0.2">
      <c r="A47" s="246" t="s">
        <v>163</v>
      </c>
      <c r="B47" s="206"/>
      <c r="C47" s="206"/>
      <c r="D47" s="49" t="s">
        <v>183</v>
      </c>
      <c r="E47" s="206" t="s">
        <v>130</v>
      </c>
      <c r="F47" s="164">
        <v>60</v>
      </c>
      <c r="G47" s="164"/>
      <c r="H47" s="164"/>
      <c r="I47" s="164"/>
      <c r="J47" s="250">
        <f>ROUND(F47*G47,2)</f>
        <v>0</v>
      </c>
      <c r="K47" s="160" t="s">
        <v>101</v>
      </c>
      <c r="L47" s="164">
        <f t="shared" si="10"/>
        <v>0</v>
      </c>
      <c r="W47" s="164">
        <f t="shared" si="11"/>
        <v>0</v>
      </c>
      <c r="X47" s="164">
        <f t="shared" si="12"/>
        <v>0</v>
      </c>
      <c r="Y47" s="164">
        <f t="shared" si="13"/>
        <v>0</v>
      </c>
      <c r="AA47" s="164">
        <v>21</v>
      </c>
      <c r="AB47" s="164">
        <f>G47*1</f>
        <v>0</v>
      </c>
      <c r="AC47" s="164">
        <f>G47*(1-1)</f>
        <v>0</v>
      </c>
      <c r="AJ47" s="164">
        <f t="shared" si="14"/>
        <v>0</v>
      </c>
      <c r="AK47" s="164">
        <f t="shared" si="15"/>
        <v>0</v>
      </c>
      <c r="AL47" s="160" t="s">
        <v>92</v>
      </c>
      <c r="AM47" s="160" t="s">
        <v>76</v>
      </c>
      <c r="AN47" s="159" t="s">
        <v>77</v>
      </c>
    </row>
    <row r="48" spans="1:46" customFormat="1" ht="24" x14ac:dyDescent="0.2">
      <c r="A48" s="246" t="s">
        <v>166</v>
      </c>
      <c r="B48" s="3"/>
      <c r="C48" s="3" t="s">
        <v>164</v>
      </c>
      <c r="D48" s="49" t="s">
        <v>167</v>
      </c>
      <c r="E48" s="3" t="s">
        <v>81</v>
      </c>
      <c r="F48" s="9">
        <f>F49</f>
        <v>515</v>
      </c>
      <c r="G48" s="9"/>
      <c r="H48" s="9"/>
      <c r="I48" s="9"/>
      <c r="J48" s="256">
        <f>ROUND(F48*G48,2)</f>
        <v>0</v>
      </c>
      <c r="K48" s="11" t="s">
        <v>73</v>
      </c>
      <c r="L48" s="9">
        <f t="shared" si="10"/>
        <v>0</v>
      </c>
      <c r="W48" s="9">
        <f t="shared" si="11"/>
        <v>0</v>
      </c>
      <c r="X48" s="9">
        <f t="shared" si="12"/>
        <v>0</v>
      </c>
      <c r="Y48" s="9">
        <f t="shared" si="13"/>
        <v>0</v>
      </c>
      <c r="AA48" s="14">
        <v>21</v>
      </c>
      <c r="AB48" s="14">
        <f>G48*0</f>
        <v>0</v>
      </c>
      <c r="AC48" s="14">
        <f>G48*(1-0)</f>
        <v>0</v>
      </c>
      <c r="AJ48" s="14">
        <f t="shared" si="14"/>
        <v>0</v>
      </c>
      <c r="AK48" s="14">
        <f t="shared" si="15"/>
        <v>0</v>
      </c>
      <c r="AL48" s="15" t="s">
        <v>92</v>
      </c>
      <c r="AM48" s="15" t="s">
        <v>76</v>
      </c>
      <c r="AN48" s="25" t="s">
        <v>77</v>
      </c>
    </row>
    <row r="49" spans="1:40" customFormat="1" x14ac:dyDescent="0.2">
      <c r="A49" s="246" t="s">
        <v>168</v>
      </c>
      <c r="B49" s="3"/>
      <c r="C49" s="3" t="s">
        <v>192</v>
      </c>
      <c r="D49" s="49" t="s">
        <v>193</v>
      </c>
      <c r="E49" s="3" t="s">
        <v>81</v>
      </c>
      <c r="F49" s="9">
        <f>SUM(F50:F53)</f>
        <v>515</v>
      </c>
      <c r="G49" s="9"/>
      <c r="H49" s="9"/>
      <c r="I49" s="9"/>
      <c r="J49" s="256">
        <f t="shared" ref="J49" si="16">ROUND(F49*G49,2)</f>
        <v>0</v>
      </c>
      <c r="K49" s="11" t="s">
        <v>73</v>
      </c>
      <c r="L49" s="9">
        <f t="shared" si="10"/>
        <v>0</v>
      </c>
      <c r="W49" s="9">
        <f t="shared" si="11"/>
        <v>0</v>
      </c>
      <c r="X49" s="9">
        <f t="shared" si="12"/>
        <v>0</v>
      </c>
      <c r="Y49" s="9">
        <f t="shared" si="13"/>
        <v>0</v>
      </c>
      <c r="AA49" s="14">
        <v>21</v>
      </c>
      <c r="AB49" s="14">
        <f>G49*0.0162617180026784</f>
        <v>0</v>
      </c>
      <c r="AC49" s="14">
        <f>G49*(1-0.0162617180026784)</f>
        <v>0</v>
      </c>
      <c r="AJ49" s="14">
        <f t="shared" si="14"/>
        <v>0</v>
      </c>
      <c r="AK49" s="14">
        <f t="shared" si="15"/>
        <v>0</v>
      </c>
      <c r="AL49" s="15" t="s">
        <v>92</v>
      </c>
      <c r="AM49" s="15" t="s">
        <v>76</v>
      </c>
      <c r="AN49" s="25" t="s">
        <v>77</v>
      </c>
    </row>
    <row r="50" spans="1:40" customFormat="1" ht="15" x14ac:dyDescent="0.25">
      <c r="A50" s="246" t="s">
        <v>171</v>
      </c>
      <c r="B50" s="4"/>
      <c r="C50" s="4"/>
      <c r="D50" s="217" t="s">
        <v>209</v>
      </c>
      <c r="E50" s="4" t="s">
        <v>130</v>
      </c>
      <c r="F50" s="257">
        <v>155</v>
      </c>
      <c r="G50" s="10"/>
      <c r="H50" s="10"/>
      <c r="I50" s="10"/>
      <c r="J50" s="258">
        <f t="shared" ref="J50:J53" si="17">ROUND(F50*G50,2)</f>
        <v>0</v>
      </c>
      <c r="K50" s="12" t="s">
        <v>101</v>
      </c>
      <c r="L50" s="10">
        <f t="shared" si="10"/>
        <v>0</v>
      </c>
      <c r="W50" s="10">
        <f t="shared" si="11"/>
        <v>0</v>
      </c>
      <c r="X50" s="10">
        <f t="shared" si="12"/>
        <v>0</v>
      </c>
      <c r="Y50" s="10">
        <f t="shared" si="13"/>
        <v>0</v>
      </c>
      <c r="AA50" s="14">
        <v>21</v>
      </c>
      <c r="AB50" s="14">
        <f>G50*1</f>
        <v>0</v>
      </c>
      <c r="AC50" s="14">
        <f>G50*(1-1)</f>
        <v>0</v>
      </c>
      <c r="AJ50" s="14">
        <f t="shared" si="14"/>
        <v>0</v>
      </c>
      <c r="AK50" s="14">
        <f t="shared" si="15"/>
        <v>0</v>
      </c>
      <c r="AL50" s="15" t="s">
        <v>92</v>
      </c>
      <c r="AM50" s="15" t="s">
        <v>76</v>
      </c>
      <c r="AN50" s="25" t="s">
        <v>77</v>
      </c>
    </row>
    <row r="51" spans="1:40" customFormat="1" ht="15" x14ac:dyDescent="0.25">
      <c r="A51" s="246" t="s">
        <v>173</v>
      </c>
      <c r="B51" s="4"/>
      <c r="C51" s="4"/>
      <c r="D51" s="217" t="s">
        <v>211</v>
      </c>
      <c r="E51" s="4" t="s">
        <v>130</v>
      </c>
      <c r="F51" s="257">
        <v>100</v>
      </c>
      <c r="G51" s="10"/>
      <c r="H51" s="10"/>
      <c r="I51" s="10"/>
      <c r="J51" s="258">
        <f t="shared" si="17"/>
        <v>0</v>
      </c>
      <c r="K51" s="12" t="s">
        <v>101</v>
      </c>
      <c r="L51" s="10">
        <f t="shared" si="10"/>
        <v>0</v>
      </c>
      <c r="W51" s="10">
        <f t="shared" si="11"/>
        <v>0</v>
      </c>
      <c r="X51" s="10">
        <f t="shared" si="12"/>
        <v>0</v>
      </c>
      <c r="Y51" s="10">
        <f t="shared" si="13"/>
        <v>0</v>
      </c>
      <c r="AA51" s="14">
        <v>21</v>
      </c>
      <c r="AB51" s="14">
        <f>G51*1</f>
        <v>0</v>
      </c>
      <c r="AC51" s="14">
        <f>G51*(1-1)</f>
        <v>0</v>
      </c>
      <c r="AJ51" s="14">
        <f t="shared" si="14"/>
        <v>0</v>
      </c>
      <c r="AK51" s="14">
        <f t="shared" si="15"/>
        <v>0</v>
      </c>
      <c r="AL51" s="15" t="s">
        <v>92</v>
      </c>
      <c r="AM51" s="15" t="s">
        <v>76</v>
      </c>
      <c r="AN51" s="25" t="s">
        <v>77</v>
      </c>
    </row>
    <row r="52" spans="1:40" customFormat="1" ht="15" x14ac:dyDescent="0.25">
      <c r="A52" s="246" t="s">
        <v>175</v>
      </c>
      <c r="B52" s="4"/>
      <c r="C52" s="4"/>
      <c r="D52" s="217" t="s">
        <v>212</v>
      </c>
      <c r="E52" s="4" t="s">
        <v>130</v>
      </c>
      <c r="F52" s="257">
        <v>160</v>
      </c>
      <c r="G52" s="10"/>
      <c r="H52" s="10"/>
      <c r="I52" s="10"/>
      <c r="J52" s="258">
        <f t="shared" si="17"/>
        <v>0</v>
      </c>
      <c r="K52" s="12" t="s">
        <v>101</v>
      </c>
      <c r="L52" s="10">
        <f t="shared" si="10"/>
        <v>0</v>
      </c>
      <c r="W52" s="10">
        <f t="shared" si="11"/>
        <v>0</v>
      </c>
      <c r="X52" s="10">
        <f t="shared" si="12"/>
        <v>0</v>
      </c>
      <c r="Y52" s="10">
        <f t="shared" si="13"/>
        <v>0</v>
      </c>
      <c r="AA52" s="14">
        <v>21</v>
      </c>
      <c r="AB52" s="14">
        <f>G52*1</f>
        <v>0</v>
      </c>
      <c r="AC52" s="14">
        <f>G52*(1-1)</f>
        <v>0</v>
      </c>
      <c r="AJ52" s="14">
        <f t="shared" si="14"/>
        <v>0</v>
      </c>
      <c r="AK52" s="14">
        <f t="shared" si="15"/>
        <v>0</v>
      </c>
      <c r="AL52" s="15" t="s">
        <v>92</v>
      </c>
      <c r="AM52" s="15" t="s">
        <v>76</v>
      </c>
      <c r="AN52" s="25" t="s">
        <v>77</v>
      </c>
    </row>
    <row r="53" spans="1:40" customFormat="1" ht="15" x14ac:dyDescent="0.25">
      <c r="A53" s="246" t="s">
        <v>177</v>
      </c>
      <c r="B53" s="4"/>
      <c r="C53" s="4"/>
      <c r="D53" s="217" t="s">
        <v>214</v>
      </c>
      <c r="E53" s="4" t="s">
        <v>130</v>
      </c>
      <c r="F53" s="257">
        <v>100</v>
      </c>
      <c r="G53" s="10"/>
      <c r="H53" s="10"/>
      <c r="I53" s="10"/>
      <c r="J53" s="258">
        <f t="shared" si="17"/>
        <v>0</v>
      </c>
      <c r="K53" s="12" t="s">
        <v>101</v>
      </c>
      <c r="L53" s="10">
        <f t="shared" si="10"/>
        <v>0</v>
      </c>
      <c r="W53" s="10">
        <f t="shared" si="11"/>
        <v>0</v>
      </c>
      <c r="X53" s="10">
        <f t="shared" si="12"/>
        <v>0</v>
      </c>
      <c r="Y53" s="10">
        <f t="shared" si="13"/>
        <v>0</v>
      </c>
      <c r="AA53" s="14">
        <v>21</v>
      </c>
      <c r="AB53" s="14">
        <f>G53*1</f>
        <v>0</v>
      </c>
      <c r="AC53" s="14">
        <f>G53*(1-1)</f>
        <v>0</v>
      </c>
      <c r="AJ53" s="14">
        <f t="shared" si="14"/>
        <v>0</v>
      </c>
      <c r="AK53" s="14">
        <f t="shared" si="15"/>
        <v>0</v>
      </c>
      <c r="AL53" s="15" t="s">
        <v>92</v>
      </c>
      <c r="AM53" s="15" t="s">
        <v>76</v>
      </c>
      <c r="AN53" s="25" t="s">
        <v>77</v>
      </c>
    </row>
    <row r="54" spans="1:40" x14ac:dyDescent="0.2">
      <c r="A54" s="246" t="s">
        <v>179</v>
      </c>
      <c r="B54" s="206"/>
      <c r="C54" s="206" t="s">
        <v>154</v>
      </c>
      <c r="D54" s="49" t="s">
        <v>275</v>
      </c>
      <c r="E54" s="206" t="s">
        <v>74</v>
      </c>
      <c r="F54" s="164">
        <v>140</v>
      </c>
      <c r="G54" s="164"/>
      <c r="H54" s="164"/>
      <c r="I54" s="164"/>
      <c r="J54" s="250">
        <f t="shared" si="9"/>
        <v>0</v>
      </c>
      <c r="K54" s="160" t="s">
        <v>73</v>
      </c>
      <c r="L54" s="164">
        <f t="shared" si="10"/>
        <v>0</v>
      </c>
      <c r="W54" s="164">
        <f t="shared" si="11"/>
        <v>0</v>
      </c>
      <c r="X54" s="164">
        <f t="shared" si="12"/>
        <v>0</v>
      </c>
      <c r="Y54" s="164">
        <f t="shared" si="13"/>
        <v>0</v>
      </c>
      <c r="AA54" s="164">
        <v>21</v>
      </c>
      <c r="AB54" s="164">
        <f>G54*0</f>
        <v>0</v>
      </c>
      <c r="AC54" s="164">
        <f>G54*(1-0)</f>
        <v>0</v>
      </c>
      <c r="AJ54" s="164">
        <f t="shared" si="14"/>
        <v>0</v>
      </c>
      <c r="AK54" s="164">
        <f t="shared" si="15"/>
        <v>0</v>
      </c>
      <c r="AL54" s="160" t="s">
        <v>92</v>
      </c>
      <c r="AM54" s="160" t="s">
        <v>76</v>
      </c>
      <c r="AN54" s="159" t="s">
        <v>77</v>
      </c>
    </row>
    <row r="55" spans="1:40" ht="13.5" thickBot="1" x14ac:dyDescent="0.25">
      <c r="A55" s="246" t="s">
        <v>182</v>
      </c>
      <c r="B55" s="206"/>
      <c r="C55" s="206" t="s">
        <v>157</v>
      </c>
      <c r="D55" s="49" t="s">
        <v>269</v>
      </c>
      <c r="E55" s="206" t="s">
        <v>84</v>
      </c>
      <c r="F55" s="164">
        <v>14</v>
      </c>
      <c r="G55" s="164"/>
      <c r="H55" s="164"/>
      <c r="I55" s="164"/>
      <c r="J55" s="250">
        <f t="shared" si="9"/>
        <v>0</v>
      </c>
      <c r="K55" s="160" t="s">
        <v>101</v>
      </c>
      <c r="L55" s="164">
        <f t="shared" si="10"/>
        <v>0</v>
      </c>
      <c r="W55" s="164">
        <f t="shared" si="11"/>
        <v>0</v>
      </c>
      <c r="X55" s="164">
        <f t="shared" si="12"/>
        <v>0</v>
      </c>
      <c r="Y55" s="164">
        <f t="shared" si="13"/>
        <v>0</v>
      </c>
      <c r="AA55" s="164">
        <v>21</v>
      </c>
      <c r="AB55" s="164">
        <f>G55*1</f>
        <v>0</v>
      </c>
      <c r="AC55" s="164">
        <f>G55*(1-1)</f>
        <v>0</v>
      </c>
      <c r="AJ55" s="164">
        <f t="shared" si="14"/>
        <v>0</v>
      </c>
      <c r="AK55" s="164">
        <f t="shared" si="15"/>
        <v>0</v>
      </c>
      <c r="AL55" s="160" t="s">
        <v>92</v>
      </c>
      <c r="AM55" s="160" t="s">
        <v>76</v>
      </c>
      <c r="AN55" s="159" t="s">
        <v>77</v>
      </c>
    </row>
    <row r="56" spans="1:40" s="172" customFormat="1" ht="13.5" thickBot="1" x14ac:dyDescent="0.25">
      <c r="A56" s="166"/>
      <c r="B56" s="167"/>
      <c r="C56" s="167"/>
      <c r="D56" s="50" t="s">
        <v>247</v>
      </c>
      <c r="E56" s="167"/>
      <c r="F56" s="168"/>
      <c r="G56" s="168"/>
      <c r="H56" s="168"/>
      <c r="I56" s="168"/>
      <c r="J56" s="169">
        <f>J32+J30</f>
        <v>0</v>
      </c>
      <c r="K56" s="170"/>
      <c r="L56" s="171"/>
      <c r="W56" s="171"/>
      <c r="X56" s="171"/>
      <c r="Y56" s="171"/>
      <c r="AA56" s="171"/>
      <c r="AB56" s="171"/>
      <c r="AC56" s="171"/>
      <c r="AJ56" s="171"/>
      <c r="AK56" s="171"/>
      <c r="AL56" s="170"/>
      <c r="AM56" s="170"/>
      <c r="AN56" s="173"/>
    </row>
    <row r="57" spans="1:40" ht="13.5" thickBot="1" x14ac:dyDescent="0.25">
      <c r="A57" s="166"/>
      <c r="B57" s="167" t="s">
        <v>248</v>
      </c>
      <c r="C57" s="167" t="s">
        <v>249</v>
      </c>
      <c r="D57" s="50"/>
      <c r="E57" s="167"/>
      <c r="F57" s="167"/>
      <c r="G57" s="243"/>
      <c r="H57" s="244"/>
      <c r="I57" s="244"/>
      <c r="J57" s="245"/>
      <c r="K57" s="162"/>
      <c r="M57" s="159"/>
      <c r="N57" s="159"/>
      <c r="O57" s="159"/>
      <c r="P57" s="159"/>
      <c r="Q57" s="159"/>
      <c r="R57" s="159"/>
      <c r="S57" s="159"/>
      <c r="T57" s="159"/>
      <c r="U57" s="159"/>
    </row>
    <row r="58" spans="1:40" x14ac:dyDescent="0.2">
      <c r="A58" s="248"/>
      <c r="B58" s="205"/>
      <c r="C58" s="205" t="s">
        <v>26</v>
      </c>
      <c r="D58" s="308" t="s">
        <v>27</v>
      </c>
      <c r="E58" s="309"/>
      <c r="F58" s="309"/>
      <c r="G58" s="309"/>
      <c r="H58" s="163">
        <f>SUM(H59:H59)</f>
        <v>0</v>
      </c>
      <c r="I58" s="163">
        <f>SUM(I59:I59)</f>
        <v>0</v>
      </c>
      <c r="J58" s="249">
        <f>H58+I58</f>
        <v>0</v>
      </c>
      <c r="M58" s="163">
        <f>IF(N58="PR",J58,SUM(L59:L59))</f>
        <v>0</v>
      </c>
      <c r="N58" s="159" t="s">
        <v>72</v>
      </c>
      <c r="O58" s="163">
        <f>IF(N58="HS",H58,0)</f>
        <v>0</v>
      </c>
      <c r="P58" s="163">
        <f>IF(N58="HS",I58-M58,0)</f>
        <v>0</v>
      </c>
      <c r="Q58" s="163">
        <f>IF(N58="PS",H58,0)</f>
        <v>0</v>
      </c>
      <c r="R58" s="163">
        <f>IF(N58="PS",I58-M58,0)</f>
        <v>0</v>
      </c>
      <c r="S58" s="163">
        <f>IF(N58="MP",H58,0)</f>
        <v>0</v>
      </c>
      <c r="T58" s="163">
        <f>IF(N58="MP",I58-M58,0)</f>
        <v>0</v>
      </c>
      <c r="U58" s="163">
        <f>IF(N58="OM",H58,0)</f>
        <v>0</v>
      </c>
      <c r="V58" s="159"/>
      <c r="AF58" s="163">
        <f>SUM(W59:W59)</f>
        <v>0</v>
      </c>
      <c r="AG58" s="163">
        <f>SUM(X59:X59)</f>
        <v>0</v>
      </c>
      <c r="AH58" s="163">
        <f>SUM(Y59:Y59)</f>
        <v>0</v>
      </c>
    </row>
    <row r="59" spans="1:40" ht="36" x14ac:dyDescent="0.2">
      <c r="A59" s="246" t="s">
        <v>184</v>
      </c>
      <c r="B59" s="206"/>
      <c r="C59" s="206" t="s">
        <v>250</v>
      </c>
      <c r="D59" s="49" t="s">
        <v>251</v>
      </c>
      <c r="E59" s="206" t="s">
        <v>84</v>
      </c>
      <c r="F59" s="164">
        <v>1.76</v>
      </c>
      <c r="G59" s="164"/>
      <c r="H59" s="164"/>
      <c r="I59" s="164"/>
      <c r="J59" s="250">
        <f>ROUND(F59*G59,2)</f>
        <v>0</v>
      </c>
      <c r="K59" s="160" t="s">
        <v>73</v>
      </c>
      <c r="L59" s="164">
        <f>IF(K59="5",I59,0)</f>
        <v>0</v>
      </c>
      <c r="W59" s="164">
        <f>IF(AA59=0,J59,0)</f>
        <v>0</v>
      </c>
      <c r="X59" s="164">
        <f>IF(AA59=15,J59,0)</f>
        <v>0</v>
      </c>
      <c r="Y59" s="164">
        <f>IF(AA59=21,J59,0)</f>
        <v>0</v>
      </c>
      <c r="AA59" s="164">
        <v>21</v>
      </c>
      <c r="AB59" s="164">
        <f>G59*0</f>
        <v>0</v>
      </c>
      <c r="AC59" s="164">
        <f>G59*(1-0)</f>
        <v>0</v>
      </c>
      <c r="AJ59" s="164">
        <f>F59*AB59</f>
        <v>0</v>
      </c>
      <c r="AK59" s="164">
        <f>F59*AC59</f>
        <v>0</v>
      </c>
      <c r="AL59" s="160" t="s">
        <v>86</v>
      </c>
      <c r="AM59" s="160" t="s">
        <v>76</v>
      </c>
      <c r="AN59" s="159" t="s">
        <v>77</v>
      </c>
    </row>
    <row r="60" spans="1:40" x14ac:dyDescent="0.2">
      <c r="A60" s="248"/>
      <c r="B60" s="205"/>
      <c r="C60" s="205" t="s">
        <v>34</v>
      </c>
      <c r="D60" s="308" t="s">
        <v>35</v>
      </c>
      <c r="E60" s="309"/>
      <c r="F60" s="309"/>
      <c r="G60" s="309"/>
      <c r="H60" s="163">
        <f>SUM(H61:H62)</f>
        <v>0</v>
      </c>
      <c r="I60" s="163">
        <f>SUM(I61:I62)</f>
        <v>0</v>
      </c>
      <c r="J60" s="249">
        <f>H60+I60</f>
        <v>0</v>
      </c>
      <c r="M60" s="163">
        <f>IF(N60="PR",J60,SUM(L61:L62))</f>
        <v>0</v>
      </c>
      <c r="N60" s="159" t="s">
        <v>72</v>
      </c>
      <c r="O60" s="163">
        <f>IF(N60="HS",H60,0)</f>
        <v>0</v>
      </c>
      <c r="P60" s="163">
        <f>IF(N60="HS",I60-M60,0)</f>
        <v>0</v>
      </c>
      <c r="Q60" s="163">
        <f>IF(N60="PS",H60,0)</f>
        <v>0</v>
      </c>
      <c r="R60" s="163">
        <f>IF(N60="PS",I60-M60,0)</f>
        <v>0</v>
      </c>
      <c r="S60" s="163">
        <f>IF(N60="MP",H60,0)</f>
        <v>0</v>
      </c>
      <c r="T60" s="163">
        <f>IF(N60="MP",I60-M60,0)</f>
        <v>0</v>
      </c>
      <c r="U60" s="163">
        <f>IF(N60="OM",H60,0)</f>
        <v>0</v>
      </c>
      <c r="V60" s="159"/>
      <c r="AF60" s="163">
        <f>SUM(W61:W62)</f>
        <v>0</v>
      </c>
      <c r="AG60" s="163">
        <f>SUM(X61:X62)</f>
        <v>0</v>
      </c>
      <c r="AH60" s="163">
        <f>SUM(Y61:Y62)</f>
        <v>0</v>
      </c>
    </row>
    <row r="61" spans="1:40" ht="24" x14ac:dyDescent="0.2">
      <c r="A61" s="246" t="s">
        <v>187</v>
      </c>
      <c r="B61" s="206"/>
      <c r="C61" s="206" t="s">
        <v>252</v>
      </c>
      <c r="D61" s="49" t="s">
        <v>253</v>
      </c>
      <c r="E61" s="206" t="s">
        <v>74</v>
      </c>
      <c r="F61" s="164">
        <v>7.04</v>
      </c>
      <c r="G61" s="164"/>
      <c r="H61" s="164"/>
      <c r="I61" s="164"/>
      <c r="J61" s="250">
        <f>ROUND(F61*G61,2)</f>
        <v>0</v>
      </c>
      <c r="K61" s="160" t="s">
        <v>73</v>
      </c>
      <c r="L61" s="164">
        <f>IF(K61="5",I61,0)</f>
        <v>0</v>
      </c>
      <c r="W61" s="164">
        <f>IF(AA61=0,J61,0)</f>
        <v>0</v>
      </c>
      <c r="X61" s="164">
        <f>IF(AA61=15,J61,0)</f>
        <v>0</v>
      </c>
      <c r="Y61" s="164">
        <f>IF(AA61=21,J61,0)</f>
        <v>0</v>
      </c>
      <c r="AA61" s="164">
        <v>21</v>
      </c>
      <c r="AB61" s="164">
        <f>G61*0.838262387278193</f>
        <v>0</v>
      </c>
      <c r="AC61" s="164">
        <f>G61*(1-0.838262387278193)</f>
        <v>0</v>
      </c>
      <c r="AJ61" s="164">
        <f>F61*AB61</f>
        <v>0</v>
      </c>
      <c r="AK61" s="164">
        <f>F61*AC61</f>
        <v>0</v>
      </c>
      <c r="AL61" s="160" t="s">
        <v>254</v>
      </c>
      <c r="AM61" s="160" t="s">
        <v>255</v>
      </c>
      <c r="AN61" s="159" t="s">
        <v>77</v>
      </c>
    </row>
    <row r="62" spans="1:40" ht="24" x14ac:dyDescent="0.2">
      <c r="A62" s="246" t="s">
        <v>189</v>
      </c>
      <c r="B62" s="206"/>
      <c r="C62" s="206" t="s">
        <v>256</v>
      </c>
      <c r="D62" s="49" t="s">
        <v>257</v>
      </c>
      <c r="E62" s="206" t="s">
        <v>74</v>
      </c>
      <c r="F62" s="164">
        <v>7.04</v>
      </c>
      <c r="G62" s="164"/>
      <c r="H62" s="164"/>
      <c r="I62" s="164"/>
      <c r="J62" s="250">
        <f>ROUND(F62*G62,2)</f>
        <v>0</v>
      </c>
      <c r="K62" s="160" t="s">
        <v>73</v>
      </c>
      <c r="L62" s="164">
        <f>IF(K62="5",I62,0)</f>
        <v>0</v>
      </c>
      <c r="W62" s="164">
        <f>IF(AA62=0,J62,0)</f>
        <v>0</v>
      </c>
      <c r="X62" s="164">
        <f>IF(AA62=15,J62,0)</f>
        <v>0</v>
      </c>
      <c r="Y62" s="164">
        <f>IF(AA62=21,J62,0)</f>
        <v>0</v>
      </c>
      <c r="AA62" s="164">
        <v>21</v>
      </c>
      <c r="AB62" s="164">
        <f>G62*0.822922374429224</f>
        <v>0</v>
      </c>
      <c r="AC62" s="164">
        <f>G62*(1-0.822922374429224)</f>
        <v>0</v>
      </c>
      <c r="AJ62" s="164">
        <f>F62*AB62</f>
        <v>0</v>
      </c>
      <c r="AK62" s="164">
        <f>F62*AC62</f>
        <v>0</v>
      </c>
      <c r="AL62" s="160" t="s">
        <v>254</v>
      </c>
      <c r="AM62" s="160" t="s">
        <v>255</v>
      </c>
      <c r="AN62" s="159" t="s">
        <v>77</v>
      </c>
    </row>
    <row r="63" spans="1:40" x14ac:dyDescent="0.2">
      <c r="A63" s="248"/>
      <c r="B63" s="205"/>
      <c r="C63" s="205" t="s">
        <v>36</v>
      </c>
      <c r="D63" s="308" t="s">
        <v>37</v>
      </c>
      <c r="E63" s="309"/>
      <c r="F63" s="309"/>
      <c r="G63" s="309"/>
      <c r="H63" s="163">
        <f>SUM(H64:H64)</f>
        <v>0</v>
      </c>
      <c r="I63" s="163">
        <f>SUM(I64:I64)</f>
        <v>0</v>
      </c>
      <c r="J63" s="249">
        <f>H63+I63</f>
        <v>0</v>
      </c>
      <c r="M63" s="163">
        <f>IF(N63="PR",J63,SUM(L64:L64))</f>
        <v>0</v>
      </c>
      <c r="N63" s="159" t="s">
        <v>72</v>
      </c>
      <c r="O63" s="163">
        <f>IF(N63="HS",H63,0)</f>
        <v>0</v>
      </c>
      <c r="P63" s="163">
        <f>IF(N63="HS",I63-M63,0)</f>
        <v>0</v>
      </c>
      <c r="Q63" s="163">
        <f>IF(N63="PS",H63,0)</f>
        <v>0</v>
      </c>
      <c r="R63" s="163">
        <f>IF(N63="PS",I63-M63,0)</f>
        <v>0</v>
      </c>
      <c r="S63" s="163">
        <f>IF(N63="MP",H63,0)</f>
        <v>0</v>
      </c>
      <c r="T63" s="163">
        <f>IF(N63="MP",I63-M63,0)</f>
        <v>0</v>
      </c>
      <c r="U63" s="163">
        <f>IF(N63="OM",H63,0)</f>
        <v>0</v>
      </c>
      <c r="V63" s="159"/>
      <c r="AF63" s="163">
        <f>SUM(W64:W64)</f>
        <v>0</v>
      </c>
      <c r="AG63" s="163">
        <f>SUM(X64:X64)</f>
        <v>0</v>
      </c>
      <c r="AH63" s="163">
        <f>SUM(Y64:Y64)</f>
        <v>0</v>
      </c>
    </row>
    <row r="64" spans="1:40" x14ac:dyDescent="0.2">
      <c r="A64" s="246" t="s">
        <v>191</v>
      </c>
      <c r="B64" s="206"/>
      <c r="C64" s="206" t="s">
        <v>258</v>
      </c>
      <c r="D64" s="49" t="s">
        <v>259</v>
      </c>
      <c r="E64" s="206" t="s">
        <v>140</v>
      </c>
      <c r="F64" s="164">
        <v>11.3</v>
      </c>
      <c r="G64" s="164"/>
      <c r="H64" s="164"/>
      <c r="I64" s="164"/>
      <c r="J64" s="250">
        <f>ROUND(F64*G64,2)</f>
        <v>0</v>
      </c>
      <c r="K64" s="160" t="s">
        <v>73</v>
      </c>
      <c r="L64" s="164">
        <f>IF(K64="5",I64,0)</f>
        <v>0</v>
      </c>
      <c r="W64" s="164">
        <f>IF(AA64=0,J64,0)</f>
        <v>0</v>
      </c>
      <c r="X64" s="164">
        <f>IF(AA64=15,J64,0)</f>
        <v>0</v>
      </c>
      <c r="Y64" s="164">
        <f>IF(AA64=21,J64,0)</f>
        <v>0</v>
      </c>
      <c r="AA64" s="164">
        <v>21</v>
      </c>
      <c r="AB64" s="164">
        <f>G64*0.768322890864054</f>
        <v>0</v>
      </c>
      <c r="AC64" s="164">
        <f>G64*(1-0.768322890864054)</f>
        <v>0</v>
      </c>
      <c r="AJ64" s="164">
        <f>F64*AB64</f>
        <v>0</v>
      </c>
      <c r="AK64" s="164">
        <f>F64*AC64</f>
        <v>0</v>
      </c>
      <c r="AL64" s="160" t="s">
        <v>260</v>
      </c>
      <c r="AM64" s="160" t="s">
        <v>246</v>
      </c>
      <c r="AN64" s="159" t="s">
        <v>77</v>
      </c>
    </row>
    <row r="65" spans="1:45" ht="13.5" thickBot="1" x14ac:dyDescent="0.25">
      <c r="A65" s="259"/>
      <c r="B65" s="260"/>
      <c r="C65" s="260"/>
      <c r="D65" s="46" t="s">
        <v>261</v>
      </c>
      <c r="E65" s="260"/>
      <c r="F65" s="260"/>
      <c r="G65" s="260"/>
      <c r="H65" s="260"/>
      <c r="I65" s="260"/>
      <c r="J65" s="261"/>
    </row>
    <row r="66" spans="1:45" s="172" customFormat="1" ht="13.5" thickBot="1" x14ac:dyDescent="0.25">
      <c r="A66" s="166"/>
      <c r="B66" s="167"/>
      <c r="C66" s="167"/>
      <c r="D66" s="50" t="s">
        <v>262</v>
      </c>
      <c r="E66" s="167"/>
      <c r="F66" s="168"/>
      <c r="G66" s="168"/>
      <c r="H66" s="168"/>
      <c r="I66" s="168"/>
      <c r="J66" s="169">
        <f>J58+J60+J63</f>
        <v>0</v>
      </c>
      <c r="K66" s="170"/>
      <c r="L66" s="171"/>
      <c r="W66" s="171"/>
      <c r="X66" s="171"/>
      <c r="Y66" s="171"/>
      <c r="AA66" s="171"/>
      <c r="AB66" s="171"/>
      <c r="AC66" s="171"/>
      <c r="AJ66" s="171"/>
      <c r="AK66" s="171"/>
      <c r="AL66" s="170"/>
      <c r="AM66" s="170"/>
      <c r="AN66" s="173"/>
    </row>
    <row r="67" spans="1:45" ht="24" thickBot="1" x14ac:dyDescent="0.4">
      <c r="A67" s="240"/>
      <c r="B67" s="241"/>
      <c r="C67" s="241"/>
      <c r="D67" s="242" t="s">
        <v>407</v>
      </c>
      <c r="E67" s="241"/>
      <c r="F67" s="241"/>
      <c r="G67" s="241"/>
      <c r="H67" s="320">
        <f>J69+J92+J100</f>
        <v>0</v>
      </c>
      <c r="I67" s="320"/>
      <c r="J67" s="321"/>
    </row>
    <row r="68" spans="1:45" x14ac:dyDescent="0.2">
      <c r="A68" s="246"/>
      <c r="B68" s="206" t="s">
        <v>71</v>
      </c>
      <c r="C68" s="206" t="s">
        <v>23</v>
      </c>
      <c r="D68" s="49"/>
      <c r="E68" s="206"/>
      <c r="F68" s="206"/>
      <c r="G68" s="160"/>
      <c r="H68" s="161"/>
      <c r="I68" s="161"/>
      <c r="J68" s="247"/>
      <c r="K68" s="162"/>
      <c r="M68" s="159"/>
      <c r="N68" s="159"/>
      <c r="O68" s="159"/>
      <c r="P68" s="159"/>
      <c r="Q68" s="159"/>
      <c r="R68" s="159"/>
      <c r="S68" s="159"/>
      <c r="T68" s="159"/>
      <c r="U68" s="159"/>
    </row>
    <row r="69" spans="1:45" customFormat="1" x14ac:dyDescent="0.2">
      <c r="A69" s="262"/>
      <c r="B69" s="202"/>
      <c r="C69" s="202" t="s">
        <v>28</v>
      </c>
      <c r="D69" s="299" t="s">
        <v>29</v>
      </c>
      <c r="E69" s="300"/>
      <c r="F69" s="300"/>
      <c r="G69" s="300"/>
      <c r="H69" s="28">
        <f>SUM(H70:H84)</f>
        <v>0</v>
      </c>
      <c r="I69" s="28">
        <f>SUM(I70:I84)</f>
        <v>0</v>
      </c>
      <c r="J69" s="263">
        <f>H69+I69</f>
        <v>0</v>
      </c>
      <c r="M69" s="28">
        <f>IF(N69="PR",J69,SUM(L70:L129))</f>
        <v>0</v>
      </c>
      <c r="N69" s="25" t="s">
        <v>72</v>
      </c>
      <c r="O69" s="28">
        <f>IF(N69="HS",H69,0)</f>
        <v>0</v>
      </c>
      <c r="P69" s="28">
        <f>IF(N69="HS",I69-M69,0)</f>
        <v>0</v>
      </c>
      <c r="Q69" s="28">
        <f>IF(N69="PS",H69,0)</f>
        <v>0</v>
      </c>
      <c r="R69" s="28">
        <f>IF(N69="PS",I69-M69,0)</f>
        <v>0</v>
      </c>
      <c r="S69" s="28">
        <f>IF(N69="MP",H69,0)</f>
        <v>0</v>
      </c>
      <c r="T69" s="28">
        <f>IF(N69="MP",I69-M69,0)</f>
        <v>0</v>
      </c>
      <c r="U69" s="28">
        <f>IF(N69="OM",H69,0)</f>
        <v>0</v>
      </c>
      <c r="V69" s="25"/>
      <c r="AF69" s="28">
        <f>SUM(W70:W129)</f>
        <v>0</v>
      </c>
      <c r="AG69" s="28">
        <f>SUM(X70:X129)</f>
        <v>0</v>
      </c>
      <c r="AH69" s="28">
        <f>SUM(Y70:Y129)</f>
        <v>75</v>
      </c>
    </row>
    <row r="70" spans="1:45" customFormat="1" x14ac:dyDescent="0.2">
      <c r="A70" s="215" t="s">
        <v>194</v>
      </c>
      <c r="B70" s="3"/>
      <c r="C70" s="3" t="s">
        <v>90</v>
      </c>
      <c r="D70" s="49" t="s">
        <v>91</v>
      </c>
      <c r="E70" s="3" t="s">
        <v>74</v>
      </c>
      <c r="F70" s="9">
        <v>25</v>
      </c>
      <c r="G70" s="9"/>
      <c r="H70" s="9"/>
      <c r="I70" s="9"/>
      <c r="J70" s="256">
        <f t="shared" ref="J70:J84" si="18">ROUND(F70*G70,2)</f>
        <v>0</v>
      </c>
      <c r="K70" s="11" t="s">
        <v>73</v>
      </c>
      <c r="L70" s="9">
        <f>IF(K70="5",I70,0)</f>
        <v>0</v>
      </c>
      <c r="W70" s="9">
        <f>IF(AA70=0,J70,0)</f>
        <v>0</v>
      </c>
      <c r="X70" s="9">
        <f>IF(AA70=15,J70,0)</f>
        <v>0</v>
      </c>
      <c r="Y70" s="9">
        <f>IF(AA70=21,J70,0)</f>
        <v>0</v>
      </c>
      <c r="AA70" s="14">
        <v>21</v>
      </c>
      <c r="AB70" s="14">
        <f>G70*0.0152671755725191</f>
        <v>0</v>
      </c>
      <c r="AC70" s="14">
        <f>G70*(1-0.0152671755725191)</f>
        <v>0</v>
      </c>
      <c r="AJ70" s="14">
        <f>F70*AB70</f>
        <v>0</v>
      </c>
      <c r="AK70" s="14">
        <f>F70*AC70</f>
        <v>0</v>
      </c>
      <c r="AL70" s="15" t="s">
        <v>92</v>
      </c>
      <c r="AM70" s="15" t="s">
        <v>76</v>
      </c>
      <c r="AN70" s="25" t="s">
        <v>77</v>
      </c>
    </row>
    <row r="71" spans="1:45" customFormat="1" x14ac:dyDescent="0.2">
      <c r="A71" s="215" t="s">
        <v>196</v>
      </c>
      <c r="B71" s="3"/>
      <c r="C71" s="3"/>
      <c r="D71" s="49" t="s">
        <v>94</v>
      </c>
      <c r="E71" s="3" t="s">
        <v>95</v>
      </c>
      <c r="F71" s="9">
        <f>F70*0.001</f>
        <v>2.5000000000000001E-2</v>
      </c>
      <c r="G71" s="9"/>
      <c r="H71" s="9"/>
      <c r="I71" s="9"/>
      <c r="J71" s="256">
        <f t="shared" si="18"/>
        <v>0</v>
      </c>
      <c r="K71" s="11"/>
      <c r="L71" s="9"/>
      <c r="W71" s="9"/>
      <c r="X71" s="9"/>
      <c r="Y71" s="9"/>
      <c r="AA71" s="14"/>
      <c r="AB71" s="14"/>
      <c r="AC71" s="14"/>
      <c r="AJ71" s="14"/>
      <c r="AK71" s="14"/>
      <c r="AL71" s="15"/>
      <c r="AM71" s="15"/>
      <c r="AN71" s="25"/>
      <c r="AS71" s="30"/>
    </row>
    <row r="72" spans="1:45" customFormat="1" x14ac:dyDescent="0.2">
      <c r="A72" s="215" t="s">
        <v>198</v>
      </c>
      <c r="B72" s="3"/>
      <c r="C72" s="3" t="s">
        <v>105</v>
      </c>
      <c r="D72" s="49" t="s">
        <v>265</v>
      </c>
      <c r="E72" s="3" t="s">
        <v>74</v>
      </c>
      <c r="F72" s="9">
        <v>25</v>
      </c>
      <c r="G72" s="9"/>
      <c r="H72" s="9"/>
      <c r="I72" s="9"/>
      <c r="J72" s="256">
        <f t="shared" si="18"/>
        <v>0</v>
      </c>
      <c r="K72" s="11" t="s">
        <v>73</v>
      </c>
      <c r="L72" s="9">
        <f>IF(K72="5",I72,0)</f>
        <v>0</v>
      </c>
      <c r="W72" s="9">
        <f>IF(AA72=0,J72,0)</f>
        <v>0</v>
      </c>
      <c r="X72" s="9">
        <f>IF(AA72=15,J72,0)</f>
        <v>0</v>
      </c>
      <c r="Y72" s="9">
        <f>IF(AA72=21,J72,0)</f>
        <v>0</v>
      </c>
      <c r="AA72" s="14">
        <v>21</v>
      </c>
      <c r="AB72" s="14">
        <f>G72*0</f>
        <v>0</v>
      </c>
      <c r="AC72" s="14">
        <f>G72*(1-0)</f>
        <v>0</v>
      </c>
      <c r="AJ72" s="14">
        <f>F72*AB72</f>
        <v>0</v>
      </c>
      <c r="AK72" s="14">
        <f>F72*AC72</f>
        <v>0</v>
      </c>
      <c r="AL72" s="15" t="s">
        <v>92</v>
      </c>
      <c r="AM72" s="15" t="s">
        <v>76</v>
      </c>
      <c r="AN72" s="25" t="s">
        <v>77</v>
      </c>
    </row>
    <row r="73" spans="1:45" customFormat="1" x14ac:dyDescent="0.2">
      <c r="A73" s="215" t="s">
        <v>200</v>
      </c>
      <c r="B73" s="3"/>
      <c r="C73" s="3" t="s">
        <v>106</v>
      </c>
      <c r="D73" s="49" t="s">
        <v>274</v>
      </c>
      <c r="E73" s="3" t="s">
        <v>74</v>
      </c>
      <c r="F73" s="9">
        <v>25</v>
      </c>
      <c r="G73" s="9"/>
      <c r="H73" s="9"/>
      <c r="I73" s="9"/>
      <c r="J73" s="256">
        <f t="shared" si="18"/>
        <v>0</v>
      </c>
      <c r="K73" s="11" t="s">
        <v>73</v>
      </c>
      <c r="L73" s="9">
        <f>IF(K73="5",I73,0)</f>
        <v>0</v>
      </c>
      <c r="W73" s="9">
        <f>IF(AA73=0,J73,0)</f>
        <v>0</v>
      </c>
      <c r="X73" s="9">
        <f>IF(AA73=15,J73,0)</f>
        <v>0</v>
      </c>
      <c r="Y73" s="9">
        <f>IF(AA73=21,J73,0)</f>
        <v>0</v>
      </c>
      <c r="AA73" s="14">
        <v>21</v>
      </c>
      <c r="AB73" s="14">
        <f>G73*0</f>
        <v>0</v>
      </c>
      <c r="AC73" s="14">
        <f>G73*(1-0)</f>
        <v>0</v>
      </c>
      <c r="AJ73" s="14">
        <f>F73*AB73</f>
        <v>0</v>
      </c>
      <c r="AK73" s="14">
        <f>F73*AC73</f>
        <v>0</v>
      </c>
      <c r="AL73" s="15" t="s">
        <v>92</v>
      </c>
      <c r="AM73" s="15" t="s">
        <v>76</v>
      </c>
      <c r="AN73" s="25" t="s">
        <v>77</v>
      </c>
    </row>
    <row r="74" spans="1:45" customFormat="1" x14ac:dyDescent="0.2">
      <c r="A74" s="215" t="s">
        <v>202</v>
      </c>
      <c r="B74" s="3"/>
      <c r="C74" s="3" t="s">
        <v>108</v>
      </c>
      <c r="D74" s="49" t="s">
        <v>109</v>
      </c>
      <c r="E74" s="3" t="s">
        <v>74</v>
      </c>
      <c r="F74" s="9">
        <v>25</v>
      </c>
      <c r="G74" s="9"/>
      <c r="H74" s="9"/>
      <c r="I74" s="9"/>
      <c r="J74" s="256">
        <f t="shared" si="18"/>
        <v>0</v>
      </c>
      <c r="K74" s="11" t="s">
        <v>73</v>
      </c>
      <c r="L74" s="9">
        <f>IF(K74="5",I74,0)</f>
        <v>0</v>
      </c>
      <c r="W74" s="9">
        <f>IF(AA74=0,J74,0)</f>
        <v>0</v>
      </c>
      <c r="X74" s="9">
        <f>IF(AA74=15,J74,0)</f>
        <v>0</v>
      </c>
      <c r="Y74" s="9">
        <f>IF(AA74=21,J74,0)</f>
        <v>0</v>
      </c>
      <c r="AA74" s="14">
        <v>21</v>
      </c>
      <c r="AB74" s="14">
        <f>G74*0</f>
        <v>0</v>
      </c>
      <c r="AC74" s="14">
        <f>G74*(1-0)</f>
        <v>0</v>
      </c>
      <c r="AJ74" s="14">
        <f>F74*AB74</f>
        <v>0</v>
      </c>
      <c r="AK74" s="14">
        <f>F74*AC74</f>
        <v>0</v>
      </c>
      <c r="AL74" s="15" t="s">
        <v>92</v>
      </c>
      <c r="AM74" s="15" t="s">
        <v>76</v>
      </c>
      <c r="AN74" s="25" t="s">
        <v>77</v>
      </c>
    </row>
    <row r="75" spans="1:45" customFormat="1" x14ac:dyDescent="0.2">
      <c r="A75" s="215" t="s">
        <v>204</v>
      </c>
      <c r="B75" s="3"/>
      <c r="C75" s="3" t="s">
        <v>90</v>
      </c>
      <c r="D75" s="49" t="s">
        <v>91</v>
      </c>
      <c r="E75" s="3" t="s">
        <v>74</v>
      </c>
      <c r="F75" s="9">
        <v>25</v>
      </c>
      <c r="G75" s="9"/>
      <c r="H75" s="9"/>
      <c r="I75" s="9"/>
      <c r="J75" s="256">
        <f t="shared" si="18"/>
        <v>0</v>
      </c>
      <c r="K75" s="11" t="s">
        <v>73</v>
      </c>
      <c r="L75" s="9">
        <f>IF(K75="5",I75,0)</f>
        <v>0</v>
      </c>
      <c r="W75" s="9">
        <f>IF(AA75=0,J75,0)</f>
        <v>0</v>
      </c>
      <c r="X75" s="9">
        <f>IF(AA75=15,J75,0)</f>
        <v>0</v>
      </c>
      <c r="Y75" s="9">
        <f>IF(AA75=21,J75,0)</f>
        <v>0</v>
      </c>
      <c r="AA75" s="14">
        <v>21</v>
      </c>
      <c r="AB75" s="14">
        <f>G75*0.0152671755725191</f>
        <v>0</v>
      </c>
      <c r="AC75" s="14">
        <f>G75*(1-0.0152671755725191)</f>
        <v>0</v>
      </c>
      <c r="AJ75" s="14">
        <f>F75*AB75</f>
        <v>0</v>
      </c>
      <c r="AK75" s="14">
        <f>F75*AC75</f>
        <v>0</v>
      </c>
      <c r="AL75" s="15" t="s">
        <v>92</v>
      </c>
      <c r="AM75" s="15" t="s">
        <v>76</v>
      </c>
      <c r="AN75" s="25" t="s">
        <v>77</v>
      </c>
    </row>
    <row r="76" spans="1:45" customFormat="1" x14ac:dyDescent="0.2">
      <c r="A76" s="215" t="s">
        <v>206</v>
      </c>
      <c r="B76" s="3"/>
      <c r="C76" s="3"/>
      <c r="D76" s="49" t="s">
        <v>264</v>
      </c>
      <c r="E76" s="3" t="s">
        <v>95</v>
      </c>
      <c r="F76" s="9">
        <f>F75*0.001</f>
        <v>2.5000000000000001E-2</v>
      </c>
      <c r="G76" s="9"/>
      <c r="H76" s="9"/>
      <c r="I76" s="9"/>
      <c r="J76" s="256">
        <f t="shared" si="18"/>
        <v>0</v>
      </c>
      <c r="K76" s="11"/>
      <c r="L76" s="9"/>
      <c r="W76" s="9"/>
      <c r="X76" s="9"/>
      <c r="Y76" s="9"/>
      <c r="AA76" s="14"/>
      <c r="AB76" s="14"/>
      <c r="AC76" s="14"/>
      <c r="AJ76" s="14"/>
      <c r="AK76" s="14"/>
      <c r="AL76" s="15"/>
      <c r="AM76" s="15"/>
      <c r="AN76" s="25"/>
    </row>
    <row r="77" spans="1:45" customFormat="1" ht="24" x14ac:dyDescent="0.2">
      <c r="A77" s="215" t="s">
        <v>208</v>
      </c>
      <c r="B77" s="3"/>
      <c r="C77" s="3" t="s">
        <v>164</v>
      </c>
      <c r="D77" s="49" t="s">
        <v>167</v>
      </c>
      <c r="E77" s="3" t="s">
        <v>81</v>
      </c>
      <c r="F77" s="9">
        <f>F78</f>
        <v>124</v>
      </c>
      <c r="G77" s="9"/>
      <c r="H77" s="9"/>
      <c r="I77" s="9"/>
      <c r="J77" s="256">
        <f t="shared" si="18"/>
        <v>0</v>
      </c>
      <c r="K77" s="11" t="s">
        <v>73</v>
      </c>
      <c r="L77" s="9">
        <f t="shared" ref="L77:L84" si="19">IF(K77="5",I77,0)</f>
        <v>0</v>
      </c>
      <c r="W77" s="9">
        <f t="shared" ref="W77:W84" si="20">IF(AA77=0,J77,0)</f>
        <v>0</v>
      </c>
      <c r="X77" s="9">
        <f t="shared" ref="X77:X84" si="21">IF(AA77=15,J77,0)</f>
        <v>0</v>
      </c>
      <c r="Y77" s="9">
        <f t="shared" ref="Y77:Y84" si="22">IF(AA77=21,J77,0)</f>
        <v>0</v>
      </c>
      <c r="AA77" s="14">
        <v>21</v>
      </c>
      <c r="AB77" s="14">
        <f>G77*0</f>
        <v>0</v>
      </c>
      <c r="AC77" s="14">
        <f>G77*(1-0)</f>
        <v>0</v>
      </c>
      <c r="AJ77" s="14">
        <f t="shared" ref="AJ77:AJ84" si="23">F77*AB77</f>
        <v>0</v>
      </c>
      <c r="AK77" s="14">
        <f t="shared" ref="AK77:AK84" si="24">F77*AC77</f>
        <v>0</v>
      </c>
      <c r="AL77" s="15" t="s">
        <v>92</v>
      </c>
      <c r="AM77" s="15" t="s">
        <v>76</v>
      </c>
      <c r="AN77" s="25" t="s">
        <v>77</v>
      </c>
    </row>
    <row r="78" spans="1:45" customFormat="1" x14ac:dyDescent="0.2">
      <c r="A78" s="215" t="s">
        <v>210</v>
      </c>
      <c r="B78" s="3"/>
      <c r="C78" s="3" t="s">
        <v>192</v>
      </c>
      <c r="D78" s="49" t="s">
        <v>193</v>
      </c>
      <c r="E78" s="3" t="s">
        <v>81</v>
      </c>
      <c r="F78" s="9">
        <f>SUM(F79:F84)</f>
        <v>124</v>
      </c>
      <c r="G78" s="9"/>
      <c r="H78" s="9"/>
      <c r="I78" s="9"/>
      <c r="J78" s="256">
        <f t="shared" si="18"/>
        <v>0</v>
      </c>
      <c r="K78" s="11" t="s">
        <v>73</v>
      </c>
      <c r="L78" s="9">
        <f t="shared" si="19"/>
        <v>0</v>
      </c>
      <c r="W78" s="9">
        <f t="shared" si="20"/>
        <v>0</v>
      </c>
      <c r="X78" s="9">
        <f t="shared" si="21"/>
        <v>0</v>
      </c>
      <c r="Y78" s="9">
        <f t="shared" si="22"/>
        <v>0</v>
      </c>
      <c r="AA78" s="14">
        <v>21</v>
      </c>
      <c r="AB78" s="14">
        <f>G78*0.0162617180026784</f>
        <v>0</v>
      </c>
      <c r="AC78" s="14">
        <f>G78*(1-0.0162617180026784)</f>
        <v>0</v>
      </c>
      <c r="AJ78" s="14">
        <f t="shared" si="23"/>
        <v>0</v>
      </c>
      <c r="AK78" s="14">
        <f t="shared" si="24"/>
        <v>0</v>
      </c>
      <c r="AL78" s="15" t="s">
        <v>92</v>
      </c>
      <c r="AM78" s="15" t="s">
        <v>76</v>
      </c>
      <c r="AN78" s="25" t="s">
        <v>77</v>
      </c>
    </row>
    <row r="79" spans="1:45" customFormat="1" ht="20.25" customHeight="1" x14ac:dyDescent="0.2">
      <c r="A79" s="215" t="s">
        <v>34</v>
      </c>
      <c r="B79" s="4"/>
      <c r="C79" s="4"/>
      <c r="D79" s="264" t="s">
        <v>325</v>
      </c>
      <c r="E79" s="4" t="s">
        <v>130</v>
      </c>
      <c r="F79" s="265">
        <v>3</v>
      </c>
      <c r="G79" s="10"/>
      <c r="H79" s="10"/>
      <c r="I79" s="10"/>
      <c r="J79" s="258">
        <f t="shared" si="18"/>
        <v>0</v>
      </c>
      <c r="K79" s="12" t="s">
        <v>101</v>
      </c>
      <c r="L79" s="10">
        <f t="shared" si="19"/>
        <v>0</v>
      </c>
      <c r="W79" s="10">
        <f t="shared" si="20"/>
        <v>0</v>
      </c>
      <c r="X79" s="10">
        <f t="shared" si="21"/>
        <v>0</v>
      </c>
      <c r="Y79" s="10">
        <f t="shared" si="22"/>
        <v>0</v>
      </c>
      <c r="AA79" s="14">
        <v>21</v>
      </c>
      <c r="AB79" s="14">
        <f t="shared" ref="AB79:AB84" si="25">G79*1</f>
        <v>0</v>
      </c>
      <c r="AC79" s="14">
        <f t="shared" ref="AC79:AC84" si="26">G79*(1-1)</f>
        <v>0</v>
      </c>
      <c r="AJ79" s="14">
        <f t="shared" si="23"/>
        <v>0</v>
      </c>
      <c r="AK79" s="14">
        <f t="shared" si="24"/>
        <v>0</v>
      </c>
      <c r="AL79" s="15" t="s">
        <v>92</v>
      </c>
      <c r="AM79" s="15" t="s">
        <v>76</v>
      </c>
      <c r="AN79" s="25" t="s">
        <v>77</v>
      </c>
    </row>
    <row r="80" spans="1:45" customFormat="1" ht="14.25" x14ac:dyDescent="0.2">
      <c r="A80" s="215" t="s">
        <v>213</v>
      </c>
      <c r="B80" s="4"/>
      <c r="C80" s="4"/>
      <c r="D80" s="264" t="s">
        <v>326</v>
      </c>
      <c r="E80" s="4" t="s">
        <v>130</v>
      </c>
      <c r="F80" s="265">
        <v>55</v>
      </c>
      <c r="G80" s="10"/>
      <c r="H80" s="10"/>
      <c r="I80" s="10"/>
      <c r="J80" s="258">
        <f t="shared" si="18"/>
        <v>0</v>
      </c>
      <c r="K80" s="12" t="s">
        <v>101</v>
      </c>
      <c r="L80" s="10">
        <f t="shared" si="19"/>
        <v>0</v>
      </c>
      <c r="W80" s="10">
        <f t="shared" si="20"/>
        <v>0</v>
      </c>
      <c r="X80" s="10">
        <f t="shared" si="21"/>
        <v>0</v>
      </c>
      <c r="Y80" s="10">
        <f t="shared" si="22"/>
        <v>0</v>
      </c>
      <c r="AA80" s="14">
        <v>21</v>
      </c>
      <c r="AB80" s="14">
        <f t="shared" si="25"/>
        <v>0</v>
      </c>
      <c r="AC80" s="14">
        <f t="shared" si="26"/>
        <v>0</v>
      </c>
      <c r="AJ80" s="14">
        <f t="shared" si="23"/>
        <v>0</v>
      </c>
      <c r="AK80" s="14">
        <f t="shared" si="24"/>
        <v>0</v>
      </c>
      <c r="AL80" s="15" t="s">
        <v>92</v>
      </c>
      <c r="AM80" s="15" t="s">
        <v>76</v>
      </c>
      <c r="AN80" s="25" t="s">
        <v>77</v>
      </c>
    </row>
    <row r="81" spans="1:41" customFormat="1" ht="14.25" x14ac:dyDescent="0.2">
      <c r="A81" s="215" t="s">
        <v>215</v>
      </c>
      <c r="B81" s="4"/>
      <c r="C81" s="4"/>
      <c r="D81" s="264" t="s">
        <v>327</v>
      </c>
      <c r="E81" s="4" t="s">
        <v>130</v>
      </c>
      <c r="F81" s="265">
        <v>30</v>
      </c>
      <c r="G81" s="10"/>
      <c r="H81" s="10"/>
      <c r="I81" s="10"/>
      <c r="J81" s="258">
        <f t="shared" si="18"/>
        <v>0</v>
      </c>
      <c r="K81" s="12" t="s">
        <v>101</v>
      </c>
      <c r="L81" s="10">
        <f t="shared" si="19"/>
        <v>0</v>
      </c>
      <c r="W81" s="10">
        <f t="shared" si="20"/>
        <v>0</v>
      </c>
      <c r="X81" s="10">
        <f t="shared" si="21"/>
        <v>0</v>
      </c>
      <c r="Y81" s="10">
        <f t="shared" si="22"/>
        <v>0</v>
      </c>
      <c r="AA81" s="14">
        <v>21</v>
      </c>
      <c r="AB81" s="14">
        <f t="shared" si="25"/>
        <v>0</v>
      </c>
      <c r="AC81" s="14">
        <f t="shared" si="26"/>
        <v>0</v>
      </c>
      <c r="AJ81" s="14">
        <f t="shared" si="23"/>
        <v>0</v>
      </c>
      <c r="AK81" s="14">
        <f t="shared" si="24"/>
        <v>0</v>
      </c>
      <c r="AL81" s="15" t="s">
        <v>92</v>
      </c>
      <c r="AM81" s="15" t="s">
        <v>76</v>
      </c>
      <c r="AN81" s="25" t="s">
        <v>77</v>
      </c>
    </row>
    <row r="82" spans="1:41" customFormat="1" ht="14.25" x14ac:dyDescent="0.2">
      <c r="A82" s="215" t="s">
        <v>217</v>
      </c>
      <c r="B82" s="4"/>
      <c r="C82" s="4"/>
      <c r="D82" s="264" t="s">
        <v>328</v>
      </c>
      <c r="E82" s="4" t="s">
        <v>130</v>
      </c>
      <c r="F82" s="265">
        <v>30</v>
      </c>
      <c r="G82" s="10"/>
      <c r="H82" s="10"/>
      <c r="I82" s="10"/>
      <c r="J82" s="258">
        <f t="shared" si="18"/>
        <v>0</v>
      </c>
      <c r="K82" s="12" t="s">
        <v>101</v>
      </c>
      <c r="L82" s="10">
        <f t="shared" si="19"/>
        <v>0</v>
      </c>
      <c r="W82" s="10">
        <f t="shared" si="20"/>
        <v>0</v>
      </c>
      <c r="X82" s="10">
        <f t="shared" si="21"/>
        <v>0</v>
      </c>
      <c r="Y82" s="10">
        <f t="shared" si="22"/>
        <v>0</v>
      </c>
      <c r="AA82" s="14">
        <v>21</v>
      </c>
      <c r="AB82" s="14">
        <f t="shared" si="25"/>
        <v>0</v>
      </c>
      <c r="AC82" s="14">
        <f t="shared" si="26"/>
        <v>0</v>
      </c>
      <c r="AJ82" s="14">
        <f t="shared" si="23"/>
        <v>0</v>
      </c>
      <c r="AK82" s="14">
        <f t="shared" si="24"/>
        <v>0</v>
      </c>
      <c r="AL82" s="15" t="s">
        <v>92</v>
      </c>
      <c r="AM82" s="15" t="s">
        <v>76</v>
      </c>
      <c r="AN82" s="25" t="s">
        <v>77</v>
      </c>
    </row>
    <row r="83" spans="1:41" customFormat="1" ht="20.25" customHeight="1" x14ac:dyDescent="0.2">
      <c r="A83" s="215" t="s">
        <v>219</v>
      </c>
      <c r="B83" s="4"/>
      <c r="C83" s="4"/>
      <c r="D83" s="217" t="s">
        <v>333</v>
      </c>
      <c r="E83" s="4" t="s">
        <v>130</v>
      </c>
      <c r="F83" s="265">
        <v>2</v>
      </c>
      <c r="G83" s="10"/>
      <c r="H83" s="10"/>
      <c r="I83" s="10"/>
      <c r="J83" s="258">
        <f t="shared" si="18"/>
        <v>0</v>
      </c>
      <c r="K83" s="12" t="s">
        <v>101</v>
      </c>
      <c r="L83" s="10">
        <f t="shared" si="19"/>
        <v>0</v>
      </c>
      <c r="W83" s="10">
        <f t="shared" si="20"/>
        <v>0</v>
      </c>
      <c r="X83" s="10">
        <f t="shared" si="21"/>
        <v>0</v>
      </c>
      <c r="Y83" s="10">
        <f t="shared" si="22"/>
        <v>0</v>
      </c>
      <c r="AA83" s="14">
        <v>21</v>
      </c>
      <c r="AB83" s="14">
        <f t="shared" si="25"/>
        <v>0</v>
      </c>
      <c r="AC83" s="14">
        <f t="shared" si="26"/>
        <v>0</v>
      </c>
      <c r="AJ83" s="14">
        <f t="shared" si="23"/>
        <v>0</v>
      </c>
      <c r="AK83" s="14">
        <f t="shared" si="24"/>
        <v>0</v>
      </c>
      <c r="AL83" s="15" t="s">
        <v>92</v>
      </c>
      <c r="AM83" s="15" t="s">
        <v>76</v>
      </c>
      <c r="AN83" s="25" t="s">
        <v>77</v>
      </c>
    </row>
    <row r="84" spans="1:41" customFormat="1" ht="15" thickBot="1" x14ac:dyDescent="0.25">
      <c r="A84" s="215" t="s">
        <v>221</v>
      </c>
      <c r="B84" s="4"/>
      <c r="C84" s="4"/>
      <c r="D84" s="217" t="s">
        <v>334</v>
      </c>
      <c r="E84" s="4" t="s">
        <v>130</v>
      </c>
      <c r="F84" s="265">
        <v>4</v>
      </c>
      <c r="G84" s="10"/>
      <c r="H84" s="10"/>
      <c r="I84" s="10"/>
      <c r="J84" s="258">
        <f t="shared" si="18"/>
        <v>0</v>
      </c>
      <c r="K84" s="12" t="s">
        <v>101</v>
      </c>
      <c r="L84" s="10">
        <f t="shared" si="19"/>
        <v>0</v>
      </c>
      <c r="W84" s="10">
        <f t="shared" si="20"/>
        <v>0</v>
      </c>
      <c r="X84" s="10">
        <f t="shared" si="21"/>
        <v>0</v>
      </c>
      <c r="Y84" s="10">
        <f t="shared" si="22"/>
        <v>0</v>
      </c>
      <c r="AA84" s="14">
        <v>21</v>
      </c>
      <c r="AB84" s="14">
        <f t="shared" si="25"/>
        <v>0</v>
      </c>
      <c r="AC84" s="14">
        <f t="shared" si="26"/>
        <v>0</v>
      </c>
      <c r="AJ84" s="14">
        <f t="shared" si="23"/>
        <v>0</v>
      </c>
      <c r="AK84" s="14">
        <f t="shared" si="24"/>
        <v>0</v>
      </c>
      <c r="AL84" s="15" t="s">
        <v>92</v>
      </c>
      <c r="AM84" s="15" t="s">
        <v>76</v>
      </c>
      <c r="AN84" s="25" t="s">
        <v>77</v>
      </c>
    </row>
    <row r="85" spans="1:41" ht="13.5" thickBot="1" x14ac:dyDescent="0.25">
      <c r="A85" s="166"/>
      <c r="B85" s="167" t="s">
        <v>248</v>
      </c>
      <c r="C85" s="167" t="s">
        <v>276</v>
      </c>
      <c r="D85" s="50"/>
      <c r="E85" s="167"/>
      <c r="F85" s="167"/>
      <c r="G85" s="243"/>
      <c r="H85" s="244"/>
      <c r="I85" s="244"/>
      <c r="J85" s="245"/>
      <c r="K85" s="162"/>
      <c r="M85" s="159"/>
      <c r="N85" s="159"/>
      <c r="O85" s="159"/>
      <c r="P85" s="159"/>
      <c r="Q85" s="159"/>
      <c r="R85" s="159"/>
      <c r="S85" s="159"/>
      <c r="T85" s="159"/>
      <c r="U85" s="159"/>
    </row>
    <row r="86" spans="1:41" x14ac:dyDescent="0.2">
      <c r="A86" s="248"/>
      <c r="B86" s="205"/>
      <c r="C86" s="205" t="s">
        <v>34</v>
      </c>
      <c r="D86" s="308" t="s">
        <v>35</v>
      </c>
      <c r="E86" s="309"/>
      <c r="F86" s="309"/>
      <c r="G86" s="309"/>
      <c r="H86" s="163">
        <f>SUM(H87:H88)</f>
        <v>0</v>
      </c>
      <c r="I86" s="163">
        <f>SUM(I87:I88)</f>
        <v>0</v>
      </c>
      <c r="J86" s="249">
        <f>H86+I86</f>
        <v>0</v>
      </c>
      <c r="M86" s="163">
        <f>IF(N86="PR",J86,SUM(L87:L88))</f>
        <v>0</v>
      </c>
      <c r="N86" s="159" t="s">
        <v>72</v>
      </c>
      <c r="O86" s="163">
        <f>IF(N86="HS",H86,0)</f>
        <v>0</v>
      </c>
      <c r="P86" s="163">
        <f>IF(N86="HS",I86-M86,0)</f>
        <v>0</v>
      </c>
      <c r="Q86" s="163">
        <f>IF(N86="PS",H86,0)</f>
        <v>0</v>
      </c>
      <c r="R86" s="163">
        <f>IF(N86="PS",I86-M86,0)</f>
        <v>0</v>
      </c>
      <c r="S86" s="163">
        <f>IF(N86="MP",H86,0)</f>
        <v>0</v>
      </c>
      <c r="T86" s="163">
        <f>IF(N86="MP",I86-M86,0)</f>
        <v>0</v>
      </c>
      <c r="U86" s="163">
        <f>IF(N86="OM",H86,0)</f>
        <v>0</v>
      </c>
      <c r="V86" s="159"/>
      <c r="AF86" s="163">
        <f>SUM(W87:W88)</f>
        <v>0</v>
      </c>
      <c r="AG86" s="163">
        <f>SUM(X87:X88)</f>
        <v>0</v>
      </c>
      <c r="AH86" s="163">
        <f>SUM(Y87:Y88)</f>
        <v>0</v>
      </c>
    </row>
    <row r="87" spans="1:41" ht="24" x14ac:dyDescent="0.2">
      <c r="A87" s="246" t="s">
        <v>223</v>
      </c>
      <c r="B87" s="206"/>
      <c r="C87" s="206" t="s">
        <v>252</v>
      </c>
      <c r="D87" s="49" t="s">
        <v>277</v>
      </c>
      <c r="E87" s="206" t="s">
        <v>74</v>
      </c>
      <c r="F87" s="164">
        <v>131</v>
      </c>
      <c r="G87" s="164"/>
      <c r="H87" s="164"/>
      <c r="I87" s="164"/>
      <c r="J87" s="250">
        <f>ROUND(F87*G87,2)</f>
        <v>0</v>
      </c>
      <c r="K87" s="160" t="s">
        <v>73</v>
      </c>
      <c r="L87" s="164">
        <f>IF(K87="5",I87,0)</f>
        <v>0</v>
      </c>
      <c r="W87" s="164">
        <f>IF(AA87=0,J87,0)</f>
        <v>0</v>
      </c>
      <c r="X87" s="164">
        <f>IF(AA87=15,J87,0)</f>
        <v>0</v>
      </c>
      <c r="Y87" s="164">
        <f>IF(AA87=21,J87,0)</f>
        <v>0</v>
      </c>
      <c r="AA87" s="164">
        <v>21</v>
      </c>
      <c r="AB87" s="164">
        <f>G87*0.838262387278193</f>
        <v>0</v>
      </c>
      <c r="AC87" s="164">
        <f>G87*(1-0.838262387278193)</f>
        <v>0</v>
      </c>
      <c r="AJ87" s="164">
        <f>F87*AB87</f>
        <v>0</v>
      </c>
      <c r="AK87" s="164">
        <f>F87*AC87</f>
        <v>0</v>
      </c>
      <c r="AL87" s="160" t="s">
        <v>254</v>
      </c>
      <c r="AM87" s="160" t="s">
        <v>255</v>
      </c>
      <c r="AN87" s="159" t="s">
        <v>77</v>
      </c>
    </row>
    <row r="88" spans="1:41" ht="24" x14ac:dyDescent="0.2">
      <c r="A88" s="246" t="s">
        <v>226</v>
      </c>
      <c r="B88" s="206"/>
      <c r="C88" s="206" t="s">
        <v>256</v>
      </c>
      <c r="D88" s="49" t="s">
        <v>257</v>
      </c>
      <c r="E88" s="206" t="s">
        <v>74</v>
      </c>
      <c r="F88" s="164">
        <v>131</v>
      </c>
      <c r="G88" s="164"/>
      <c r="H88" s="164"/>
      <c r="I88" s="164"/>
      <c r="J88" s="250">
        <f>ROUND(F88*G88,2)</f>
        <v>0</v>
      </c>
      <c r="K88" s="160" t="s">
        <v>73</v>
      </c>
      <c r="L88" s="164">
        <f>IF(K88="5",I88,0)</f>
        <v>0</v>
      </c>
      <c r="W88" s="164">
        <f>IF(AA88=0,J88,0)</f>
        <v>0</v>
      </c>
      <c r="X88" s="164">
        <f>IF(AA88=15,J88,0)</f>
        <v>0</v>
      </c>
      <c r="Y88" s="164">
        <f>IF(AA88=21,J88,0)</f>
        <v>0</v>
      </c>
      <c r="AA88" s="164">
        <v>21</v>
      </c>
      <c r="AB88" s="164">
        <f>G88*0.822922374429224</f>
        <v>0</v>
      </c>
      <c r="AC88" s="164">
        <f>G88*(1-0.822922374429224)</f>
        <v>0</v>
      </c>
      <c r="AJ88" s="164">
        <f>F88*AB88</f>
        <v>0</v>
      </c>
      <c r="AK88" s="164">
        <f>F88*AC88</f>
        <v>0</v>
      </c>
      <c r="AL88" s="160" t="s">
        <v>254</v>
      </c>
      <c r="AM88" s="160" t="s">
        <v>255</v>
      </c>
      <c r="AN88" s="159" t="s">
        <v>77</v>
      </c>
    </row>
    <row r="89" spans="1:41" x14ac:dyDescent="0.2">
      <c r="A89" s="248"/>
      <c r="B89" s="205"/>
      <c r="C89" s="205" t="s">
        <v>36</v>
      </c>
      <c r="D89" s="308" t="s">
        <v>37</v>
      </c>
      <c r="E89" s="309"/>
      <c r="F89" s="309"/>
      <c r="G89" s="309"/>
      <c r="H89" s="163">
        <f>SUM(H90)</f>
        <v>0</v>
      </c>
      <c r="I89" s="163">
        <f>SUM(I90)</f>
        <v>0</v>
      </c>
      <c r="J89" s="249">
        <f>H89+I89</f>
        <v>0</v>
      </c>
      <c r="M89" s="163" t="e">
        <f>IF(N89="PR",J89,SUM(#REF!))</f>
        <v>#REF!</v>
      </c>
      <c r="N89" s="159" t="s">
        <v>72</v>
      </c>
      <c r="O89" s="163">
        <f>IF(N89="HS",H89,0)</f>
        <v>0</v>
      </c>
      <c r="P89" s="163" t="e">
        <f>IF(N89="HS",I89-M89,0)</f>
        <v>#REF!</v>
      </c>
      <c r="Q89" s="163">
        <f>IF(N89="PS",H89,0)</f>
        <v>0</v>
      </c>
      <c r="R89" s="163">
        <f>IF(N89="PS",I89-M89,0)</f>
        <v>0</v>
      </c>
      <c r="S89" s="163">
        <f>IF(N89="MP",H89,0)</f>
        <v>0</v>
      </c>
      <c r="T89" s="163">
        <f>IF(N89="MP",I89-M89,0)</f>
        <v>0</v>
      </c>
      <c r="U89" s="163">
        <f>IF(N89="OM",H89,0)</f>
        <v>0</v>
      </c>
      <c r="V89" s="159"/>
      <c r="AF89" s="163" t="e">
        <f>SUM(#REF!)</f>
        <v>#REF!</v>
      </c>
      <c r="AG89" s="163" t="e">
        <f>SUM(#REF!)</f>
        <v>#REF!</v>
      </c>
      <c r="AH89" s="163" t="e">
        <f>SUM(#REF!)</f>
        <v>#REF!</v>
      </c>
    </row>
    <row r="90" spans="1:41" x14ac:dyDescent="0.2">
      <c r="A90" s="246" t="s">
        <v>230</v>
      </c>
      <c r="B90" s="206"/>
      <c r="C90" s="206" t="s">
        <v>278</v>
      </c>
      <c r="D90" s="260" t="s">
        <v>279</v>
      </c>
      <c r="E90" s="206" t="s">
        <v>140</v>
      </c>
      <c r="F90" s="164">
        <v>450</v>
      </c>
      <c r="G90" s="164"/>
      <c r="H90" s="164"/>
      <c r="I90" s="164"/>
      <c r="J90" s="250">
        <f>ROUND(F90*G90,2)</f>
        <v>0</v>
      </c>
      <c r="K90" s="160" t="s">
        <v>280</v>
      </c>
      <c r="L90" s="160" t="s">
        <v>73</v>
      </c>
      <c r="M90" s="164">
        <f>IF(L90="5",I90,0)</f>
        <v>0</v>
      </c>
      <c r="X90" s="164">
        <f>IF(AB90=0,J90,0)</f>
        <v>0</v>
      </c>
      <c r="Y90" s="164">
        <f>IF(AB90=15,J90,0)</f>
        <v>0</v>
      </c>
      <c r="Z90" s="164">
        <f>IF(AB90=21,J90,0)</f>
        <v>0</v>
      </c>
      <c r="AB90" s="164">
        <v>21</v>
      </c>
      <c r="AC90" s="164">
        <f>G90*0.812931937172775</f>
        <v>0</v>
      </c>
      <c r="AD90" s="164">
        <f>G90*(1-0.812931937172775)</f>
        <v>0</v>
      </c>
      <c r="AK90" s="164">
        <f>F90*AC90</f>
        <v>0</v>
      </c>
      <c r="AL90" s="164">
        <f>F90*AD90</f>
        <v>0</v>
      </c>
      <c r="AM90" s="160" t="s">
        <v>260</v>
      </c>
      <c r="AN90" s="160" t="s">
        <v>246</v>
      </c>
      <c r="AO90" s="173" t="s">
        <v>77</v>
      </c>
    </row>
    <row r="91" spans="1:41" ht="13.5" thickBot="1" x14ac:dyDescent="0.25">
      <c r="A91" s="259"/>
      <c r="B91" s="260"/>
      <c r="C91" s="260"/>
      <c r="D91" s="260" t="s">
        <v>281</v>
      </c>
      <c r="E91" s="260"/>
      <c r="F91" s="260"/>
      <c r="G91" s="260"/>
      <c r="H91" s="260"/>
      <c r="I91" s="260"/>
      <c r="J91" s="261"/>
    </row>
    <row r="92" spans="1:41" s="172" customFormat="1" ht="13.5" thickBot="1" x14ac:dyDescent="0.25">
      <c r="A92" s="166"/>
      <c r="B92" s="167"/>
      <c r="C92" s="167"/>
      <c r="D92" s="50" t="s">
        <v>282</v>
      </c>
      <c r="E92" s="167"/>
      <c r="F92" s="168"/>
      <c r="G92" s="168"/>
      <c r="H92" s="168"/>
      <c r="I92" s="168"/>
      <c r="J92" s="169">
        <f>J86+J89</f>
        <v>0</v>
      </c>
      <c r="K92" s="170"/>
      <c r="L92" s="171"/>
      <c r="W92" s="171"/>
      <c r="X92" s="171"/>
      <c r="Y92" s="171"/>
      <c r="AA92" s="171"/>
      <c r="AB92" s="171"/>
      <c r="AC92" s="171"/>
      <c r="AJ92" s="171"/>
      <c r="AK92" s="171"/>
      <c r="AL92" s="170"/>
      <c r="AM92" s="170"/>
      <c r="AN92" s="173"/>
    </row>
    <row r="93" spans="1:41" ht="13.5" thickBot="1" x14ac:dyDescent="0.25">
      <c r="A93" s="166"/>
      <c r="B93" s="167"/>
      <c r="C93" s="167" t="s">
        <v>408</v>
      </c>
      <c r="D93" s="50"/>
      <c r="E93" s="167"/>
      <c r="F93" s="167"/>
      <c r="G93" s="243"/>
      <c r="H93" s="244"/>
      <c r="I93" s="244"/>
      <c r="J93" s="245"/>
      <c r="K93" s="162"/>
      <c r="M93" s="159"/>
      <c r="N93" s="159"/>
      <c r="O93" s="159"/>
      <c r="P93" s="159"/>
      <c r="Q93" s="159"/>
      <c r="R93" s="159"/>
      <c r="S93" s="159"/>
      <c r="T93" s="159"/>
      <c r="U93" s="159"/>
    </row>
    <row r="94" spans="1:41" customFormat="1" x14ac:dyDescent="0.2">
      <c r="A94" s="213"/>
      <c r="B94" s="207"/>
      <c r="C94" s="207" t="s">
        <v>24</v>
      </c>
      <c r="D94" s="322" t="s">
        <v>25</v>
      </c>
      <c r="E94" s="323"/>
      <c r="F94" s="323"/>
      <c r="G94" s="323"/>
      <c r="H94" s="67">
        <f>SUM(H95:H100)</f>
        <v>0</v>
      </c>
      <c r="I94" s="67">
        <f>SUM(I95:I100)</f>
        <v>0</v>
      </c>
      <c r="J94" s="214">
        <f>H94+I94</f>
        <v>0</v>
      </c>
      <c r="K94" s="51" t="e">
        <f>IF(L94="PR",J94,SUM(#REF!))</f>
        <v>#REF!</v>
      </c>
      <c r="L94" s="39" t="s">
        <v>72</v>
      </c>
      <c r="M94" s="51">
        <f>IF(L94="HS",H94,0)</f>
        <v>0</v>
      </c>
      <c r="N94" s="51" t="e">
        <f>IF(L94="HS",I94-K94,0)</f>
        <v>#REF!</v>
      </c>
      <c r="O94" s="51">
        <f>IF(L94="PS",H94,0)</f>
        <v>0</v>
      </c>
      <c r="P94" s="51">
        <f>IF(L94="PS",I94-K94,0)</f>
        <v>0</v>
      </c>
      <c r="Q94" s="51">
        <f>IF(L94="MP",H94,0)</f>
        <v>0</v>
      </c>
      <c r="R94" s="51">
        <f>IF(L94="MP",I94-K94,0)</f>
        <v>0</v>
      </c>
      <c r="S94" s="51">
        <f>IF(L94="OM",H94,0)</f>
        <v>0</v>
      </c>
      <c r="T94" s="39"/>
      <c r="AD94" s="51">
        <f>SUM(U95:U100)</f>
        <v>0</v>
      </c>
      <c r="AE94" s="51">
        <f>SUM(V95:V100)</f>
        <v>0</v>
      </c>
      <c r="AF94" s="51">
        <f>SUM(W95:W100)</f>
        <v>0</v>
      </c>
    </row>
    <row r="95" spans="1:41" customFormat="1" x14ac:dyDescent="0.2">
      <c r="A95" s="215" t="s">
        <v>231</v>
      </c>
      <c r="B95" s="3"/>
      <c r="C95" s="3" t="s">
        <v>346</v>
      </c>
      <c r="D95" s="52" t="s">
        <v>347</v>
      </c>
      <c r="E95" s="3" t="s">
        <v>81</v>
      </c>
      <c r="F95" s="9">
        <v>4</v>
      </c>
      <c r="G95" s="9"/>
      <c r="H95" s="9"/>
      <c r="I95" s="9"/>
      <c r="J95" s="256">
        <f>ROUND(F95*G95,2)</f>
        <v>0</v>
      </c>
      <c r="U95" s="9">
        <f>IF(Y95=0,J95,0)</f>
        <v>0</v>
      </c>
      <c r="V95" s="9">
        <f>IF(Y95=15,J95,0)</f>
        <v>0</v>
      </c>
      <c r="W95" s="9">
        <f>IF(Y95=21,J95,0)</f>
        <v>0</v>
      </c>
      <c r="Y95" s="14">
        <v>15</v>
      </c>
      <c r="Z95" s="14">
        <f>G95*0</f>
        <v>0</v>
      </c>
      <c r="AA95" s="14">
        <f>G95*(1-0)</f>
        <v>0</v>
      </c>
      <c r="AH95" s="14">
        <f>F95*Z95</f>
        <v>0</v>
      </c>
      <c r="AI95" s="14">
        <f>F95*AA95</f>
        <v>0</v>
      </c>
      <c r="AJ95" s="15" t="s">
        <v>75</v>
      </c>
      <c r="AK95" s="15" t="s">
        <v>76</v>
      </c>
      <c r="AL95" s="39" t="s">
        <v>77</v>
      </c>
    </row>
    <row r="96" spans="1:41" customFormat="1" x14ac:dyDescent="0.2">
      <c r="A96" s="215" t="s">
        <v>232</v>
      </c>
      <c r="B96" s="3"/>
      <c r="C96" s="3" t="s">
        <v>346</v>
      </c>
      <c r="D96" s="52" t="s">
        <v>348</v>
      </c>
      <c r="E96" s="3" t="s">
        <v>81</v>
      </c>
      <c r="F96" s="9">
        <v>2</v>
      </c>
      <c r="G96" s="9"/>
      <c r="H96" s="9"/>
      <c r="I96" s="9"/>
      <c r="J96" s="256">
        <f>ROUND(F96*G96,2)</f>
        <v>0</v>
      </c>
      <c r="U96" s="9">
        <f>IF(Y96=0,J96,0)</f>
        <v>0</v>
      </c>
      <c r="V96" s="9">
        <f>IF(Y96=15,J96,0)</f>
        <v>0</v>
      </c>
      <c r="W96" s="9">
        <f>IF(Y96=21,J96,0)</f>
        <v>0</v>
      </c>
      <c r="Y96" s="14">
        <v>15</v>
      </c>
      <c r="Z96" s="14">
        <f>G96*0</f>
        <v>0</v>
      </c>
      <c r="AA96" s="14">
        <f>G96*(1-0)</f>
        <v>0</v>
      </c>
      <c r="AH96" s="14">
        <f>F96*Z96</f>
        <v>0</v>
      </c>
      <c r="AI96" s="14">
        <f>F96*AA96</f>
        <v>0</v>
      </c>
      <c r="AJ96" s="15" t="s">
        <v>75</v>
      </c>
      <c r="AK96" s="15" t="s">
        <v>76</v>
      </c>
      <c r="AL96" s="39" t="s">
        <v>77</v>
      </c>
    </row>
    <row r="97" spans="1:40" customFormat="1" x14ac:dyDescent="0.2">
      <c r="A97" s="215" t="s">
        <v>235</v>
      </c>
      <c r="B97" s="3"/>
      <c r="C97" s="3" t="s">
        <v>349</v>
      </c>
      <c r="D97" s="52" t="s">
        <v>350</v>
      </c>
      <c r="E97" s="3" t="s">
        <v>81</v>
      </c>
      <c r="F97" s="9">
        <v>2</v>
      </c>
      <c r="G97" s="9"/>
      <c r="H97" s="9"/>
      <c r="I97" s="9"/>
      <c r="J97" s="256">
        <f>ROUND(F97*G97,2)</f>
        <v>0</v>
      </c>
      <c r="U97" s="9">
        <f>IF(Y97=0,J97,0)</f>
        <v>0</v>
      </c>
      <c r="V97" s="9">
        <f>IF(Y97=15,J97,0)</f>
        <v>0</v>
      </c>
      <c r="W97" s="9">
        <f>IF(Y97=21,J97,0)</f>
        <v>0</v>
      </c>
      <c r="Y97" s="14">
        <v>15</v>
      </c>
      <c r="Z97" s="14">
        <f>G97*0</f>
        <v>0</v>
      </c>
      <c r="AA97" s="14">
        <f>G97*(1-0)</f>
        <v>0</v>
      </c>
      <c r="AH97" s="14">
        <f>F97*Z97</f>
        <v>0</v>
      </c>
      <c r="AI97" s="14">
        <f>F97*AA97</f>
        <v>0</v>
      </c>
      <c r="AJ97" s="15" t="s">
        <v>75</v>
      </c>
      <c r="AK97" s="15" t="s">
        <v>76</v>
      </c>
      <c r="AL97" s="39" t="s">
        <v>77</v>
      </c>
    </row>
    <row r="98" spans="1:40" customFormat="1" x14ac:dyDescent="0.2">
      <c r="A98" s="215" t="s">
        <v>238</v>
      </c>
      <c r="B98" s="3"/>
      <c r="C98" s="3" t="s">
        <v>351</v>
      </c>
      <c r="D98" s="52" t="s">
        <v>352</v>
      </c>
      <c r="E98" s="3" t="s">
        <v>81</v>
      </c>
      <c r="F98" s="9">
        <v>1</v>
      </c>
      <c r="G98" s="9"/>
      <c r="H98" s="9"/>
      <c r="I98" s="9"/>
      <c r="J98" s="256">
        <f>ROUND(F98*G98,2)</f>
        <v>0</v>
      </c>
      <c r="U98" s="9">
        <f>IF(Y98=0,J98,0)</f>
        <v>0</v>
      </c>
      <c r="V98" s="9">
        <f>IF(Y98=15,J98,0)</f>
        <v>0</v>
      </c>
      <c r="W98" s="9">
        <f>IF(Y98=21,J98,0)</f>
        <v>0</v>
      </c>
      <c r="Y98" s="14">
        <v>15</v>
      </c>
      <c r="Z98" s="14">
        <f>G98*0</f>
        <v>0</v>
      </c>
      <c r="AA98" s="14">
        <f>G98*(1-0)</f>
        <v>0</v>
      </c>
      <c r="AH98" s="14">
        <f>F98*Z98</f>
        <v>0</v>
      </c>
      <c r="AI98" s="14">
        <f>F98*AA98</f>
        <v>0</v>
      </c>
      <c r="AJ98" s="15" t="s">
        <v>75</v>
      </c>
      <c r="AK98" s="15" t="s">
        <v>76</v>
      </c>
      <c r="AL98" s="39" t="s">
        <v>77</v>
      </c>
    </row>
    <row r="99" spans="1:40" customFormat="1" ht="13.5" thickBot="1" x14ac:dyDescent="0.25">
      <c r="A99" s="215" t="s">
        <v>240</v>
      </c>
      <c r="B99" s="3"/>
      <c r="C99" s="3" t="s">
        <v>351</v>
      </c>
      <c r="D99" s="52" t="s">
        <v>353</v>
      </c>
      <c r="E99" s="3" t="s">
        <v>81</v>
      </c>
      <c r="F99" s="9">
        <v>1</v>
      </c>
      <c r="G99" s="9"/>
      <c r="H99" s="9"/>
      <c r="I99" s="9"/>
      <c r="J99" s="256">
        <f>ROUND(F99*G99,2)</f>
        <v>0</v>
      </c>
      <c r="U99" s="9">
        <f>IF(Y99=0,J99,0)</f>
        <v>0</v>
      </c>
      <c r="V99" s="9">
        <f>IF(Y99=15,J99,0)</f>
        <v>0</v>
      </c>
      <c r="W99" s="9">
        <f>IF(Y99=21,J99,0)</f>
        <v>0</v>
      </c>
      <c r="Y99" s="14">
        <v>15</v>
      </c>
      <c r="Z99" s="14">
        <f>G99*0</f>
        <v>0</v>
      </c>
      <c r="AA99" s="14">
        <f>G99*(1-0)</f>
        <v>0</v>
      </c>
      <c r="AH99" s="14">
        <f>F99*Z99</f>
        <v>0</v>
      </c>
      <c r="AI99" s="14">
        <f>F99*AA99</f>
        <v>0</v>
      </c>
      <c r="AJ99" s="15" t="s">
        <v>75</v>
      </c>
      <c r="AK99" s="15" t="s">
        <v>76</v>
      </c>
      <c r="AL99" s="39" t="s">
        <v>77</v>
      </c>
    </row>
    <row r="100" spans="1:40" s="172" customFormat="1" ht="13.5" thickBot="1" x14ac:dyDescent="0.25">
      <c r="A100" s="166"/>
      <c r="B100" s="167"/>
      <c r="C100" s="167"/>
      <c r="D100" s="50" t="s">
        <v>409</v>
      </c>
      <c r="E100" s="167"/>
      <c r="F100" s="168"/>
      <c r="G100" s="168"/>
      <c r="H100" s="168"/>
      <c r="I100" s="168"/>
      <c r="J100" s="169">
        <f>SUM(J95:J99)</f>
        <v>0</v>
      </c>
      <c r="K100" s="170"/>
      <c r="L100" s="171"/>
      <c r="W100" s="171"/>
      <c r="X100" s="171"/>
      <c r="Y100" s="171"/>
      <c r="AA100" s="171"/>
      <c r="AB100" s="171"/>
      <c r="AC100" s="171"/>
      <c r="AJ100" s="171"/>
      <c r="AK100" s="171"/>
      <c r="AL100" s="170"/>
      <c r="AM100" s="170"/>
      <c r="AN100" s="173"/>
    </row>
  </sheetData>
  <mergeCells count="16">
    <mergeCell ref="D94:G94"/>
    <mergeCell ref="D86:G86"/>
    <mergeCell ref="D89:G89"/>
    <mergeCell ref="A1:G1"/>
    <mergeCell ref="H27:J27"/>
    <mergeCell ref="D32:G32"/>
    <mergeCell ref="H3:J3"/>
    <mergeCell ref="D6:G6"/>
    <mergeCell ref="D30:G30"/>
    <mergeCell ref="H2:J2"/>
    <mergeCell ref="H26:J26"/>
    <mergeCell ref="D58:G58"/>
    <mergeCell ref="D60:G60"/>
    <mergeCell ref="D63:G63"/>
    <mergeCell ref="H67:J67"/>
    <mergeCell ref="D69:G69"/>
  </mergeCells>
  <pageMargins left="0.7" right="0.7" top="0.78740157499999996" bottom="0.78740157499999996" header="0.3" footer="0.3"/>
  <pageSetup paperSize="9" orientation="landscape" horizontalDpi="4294967294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25"/>
  <sheetViews>
    <sheetView workbookViewId="0">
      <selection activeCell="F24" sqref="F24"/>
    </sheetView>
  </sheetViews>
  <sheetFormatPr defaultColWidth="11.5703125" defaultRowHeight="12.75" x14ac:dyDescent="0.2"/>
  <cols>
    <col min="1" max="1" width="3.7109375" customWidth="1"/>
    <col min="2" max="2" width="6.85546875" customWidth="1"/>
    <col min="3" max="3" width="13.28515625" customWidth="1"/>
    <col min="4" max="4" width="46" style="93" customWidth="1"/>
    <col min="5" max="5" width="4.28515625" customWidth="1"/>
    <col min="6" max="6" width="9.85546875" customWidth="1"/>
    <col min="7" max="7" width="10.140625" customWidth="1"/>
    <col min="8" max="8" width="9.28515625" customWidth="1"/>
    <col min="9" max="10" width="11.140625" customWidth="1"/>
    <col min="11" max="11" width="0" hidden="1" customWidth="1"/>
    <col min="12" max="44" width="12.140625" hidden="1" customWidth="1"/>
  </cols>
  <sheetData>
    <row r="1" spans="1:40" s="101" customFormat="1" ht="45" customHeight="1" thickBot="1" x14ac:dyDescent="0.4">
      <c r="A1" s="288" t="s">
        <v>424</v>
      </c>
      <c r="B1" s="288"/>
      <c r="C1" s="288"/>
      <c r="D1" s="288"/>
      <c r="E1" s="288"/>
      <c r="F1" s="288"/>
      <c r="G1" s="288"/>
      <c r="H1" s="288"/>
      <c r="I1" s="288"/>
      <c r="J1" s="100"/>
    </row>
    <row r="2" spans="1:40" x14ac:dyDescent="0.2">
      <c r="A2" s="58" t="s">
        <v>50</v>
      </c>
      <c r="B2" s="59" t="s">
        <v>13</v>
      </c>
      <c r="C2" s="59" t="s">
        <v>18</v>
      </c>
      <c r="D2" s="187" t="s">
        <v>51</v>
      </c>
      <c r="E2" s="59" t="s">
        <v>52</v>
      </c>
      <c r="F2" s="60" t="s">
        <v>53</v>
      </c>
      <c r="G2" s="61" t="s">
        <v>54</v>
      </c>
      <c r="H2" s="326" t="s">
        <v>55</v>
      </c>
      <c r="I2" s="327"/>
      <c r="J2" s="328"/>
      <c r="K2" s="13"/>
    </row>
    <row r="3" spans="1:40" ht="13.5" thickBot="1" x14ac:dyDescent="0.25">
      <c r="A3" s="2" t="s">
        <v>57</v>
      </c>
      <c r="B3" s="7" t="s">
        <v>57</v>
      </c>
      <c r="C3" s="7" t="s">
        <v>57</v>
      </c>
      <c r="D3" s="188" t="s">
        <v>58</v>
      </c>
      <c r="E3" s="7" t="s">
        <v>57</v>
      </c>
      <c r="F3" s="7" t="s">
        <v>57</v>
      </c>
      <c r="G3" s="63" t="s">
        <v>59</v>
      </c>
      <c r="H3" s="64" t="s">
        <v>60</v>
      </c>
      <c r="I3" s="65" t="s">
        <v>8</v>
      </c>
      <c r="J3" s="66" t="s">
        <v>61</v>
      </c>
      <c r="K3" s="13"/>
      <c r="M3" s="39" t="s">
        <v>62</v>
      </c>
      <c r="N3" s="39" t="s">
        <v>63</v>
      </c>
      <c r="O3" s="39" t="s">
        <v>64</v>
      </c>
      <c r="P3" s="39" t="s">
        <v>65</v>
      </c>
      <c r="Q3" s="39" t="s">
        <v>66</v>
      </c>
      <c r="R3" s="39" t="s">
        <v>67</v>
      </c>
      <c r="S3" s="39" t="s">
        <v>68</v>
      </c>
      <c r="T3" s="39" t="s">
        <v>69</v>
      </c>
      <c r="U3" s="39" t="s">
        <v>70</v>
      </c>
    </row>
    <row r="4" spans="1:40" x14ac:dyDescent="0.2">
      <c r="A4" s="183"/>
      <c r="B4" s="184"/>
      <c r="C4" s="184" t="s">
        <v>24</v>
      </c>
      <c r="D4" s="322" t="s">
        <v>25</v>
      </c>
      <c r="E4" s="323"/>
      <c r="F4" s="323"/>
      <c r="G4" s="323"/>
      <c r="H4" s="67">
        <f>SUM(H5:H10)</f>
        <v>0</v>
      </c>
      <c r="I4" s="67">
        <f>SUM(I5:I10)</f>
        <v>0</v>
      </c>
      <c r="J4" s="67">
        <f>H4+I4</f>
        <v>0</v>
      </c>
      <c r="M4" s="51">
        <f>IF(N4="PR",J4,SUM(L5:L10))</f>
        <v>0</v>
      </c>
      <c r="N4" s="39" t="s">
        <v>72</v>
      </c>
      <c r="O4" s="51">
        <f>IF(N4="HS",H4,0)</f>
        <v>0</v>
      </c>
      <c r="P4" s="51">
        <f>IF(N4="HS",I4-M4,0)</f>
        <v>0</v>
      </c>
      <c r="Q4" s="51">
        <f>IF(N4="PS",H4,0)</f>
        <v>0</v>
      </c>
      <c r="R4" s="51">
        <f>IF(N4="PS",I4-M4,0)</f>
        <v>0</v>
      </c>
      <c r="S4" s="51">
        <f>IF(N4="MP",H4,0)</f>
        <v>0</v>
      </c>
      <c r="T4" s="51">
        <f>IF(N4="MP",I4-M4,0)</f>
        <v>0</v>
      </c>
      <c r="U4" s="51">
        <f>IF(N4="OM",H4,0)</f>
        <v>0</v>
      </c>
      <c r="V4" s="39"/>
      <c r="AF4" s="51">
        <f>SUM(W5:W10)</f>
        <v>0</v>
      </c>
      <c r="AG4" s="51">
        <f>SUM(X5:X10)</f>
        <v>0</v>
      </c>
      <c r="AH4" s="51">
        <f>SUM(Y5:Y10)</f>
        <v>0</v>
      </c>
    </row>
    <row r="5" spans="1:40" ht="25.5" x14ac:dyDescent="0.2">
      <c r="A5" s="3" t="s">
        <v>73</v>
      </c>
      <c r="B5" s="3"/>
      <c r="C5" s="3" t="s">
        <v>340</v>
      </c>
      <c r="D5" s="52" t="s">
        <v>341</v>
      </c>
      <c r="E5" s="3" t="s">
        <v>74</v>
      </c>
      <c r="F5" s="9">
        <v>45</v>
      </c>
      <c r="G5" s="9"/>
      <c r="H5" s="9"/>
      <c r="I5" s="9"/>
      <c r="J5" s="9">
        <f t="shared" ref="J5:J10" si="0">ROUND(F5*G5,2)</f>
        <v>0</v>
      </c>
      <c r="K5" s="11" t="s">
        <v>73</v>
      </c>
      <c r="L5" s="9">
        <f t="shared" ref="L5:L10" si="1">IF(K5="5",I5,0)</f>
        <v>0</v>
      </c>
      <c r="W5" s="9">
        <f t="shared" ref="W5:W10" si="2">IF(AA5=0,J5,0)</f>
        <v>0</v>
      </c>
      <c r="X5" s="9">
        <f t="shared" ref="X5:X10" si="3">IF(AA5=15,J5,0)</f>
        <v>0</v>
      </c>
      <c r="Y5" s="9">
        <f t="shared" ref="Y5:Y10" si="4">IF(AA5=21,J5,0)</f>
        <v>0</v>
      </c>
      <c r="AA5" s="14">
        <v>15</v>
      </c>
      <c r="AB5" s="14">
        <f t="shared" ref="AB5:AB10" si="5">G5*0</f>
        <v>0</v>
      </c>
      <c r="AC5" s="14">
        <f t="shared" ref="AC5:AC10" si="6">G5*(1-0)</f>
        <v>0</v>
      </c>
      <c r="AJ5" s="14">
        <f t="shared" ref="AJ5:AJ10" si="7">F5*AB5</f>
        <v>0</v>
      </c>
      <c r="AK5" s="14">
        <f t="shared" ref="AK5:AK10" si="8">F5*AC5</f>
        <v>0</v>
      </c>
      <c r="AL5" s="15" t="s">
        <v>75</v>
      </c>
      <c r="AM5" s="15" t="s">
        <v>76</v>
      </c>
      <c r="AN5" s="39" t="s">
        <v>77</v>
      </c>
    </row>
    <row r="6" spans="1:40" ht="25.5" x14ac:dyDescent="0.2">
      <c r="A6" s="3" t="s">
        <v>78</v>
      </c>
      <c r="B6" s="3"/>
      <c r="C6" s="3" t="s">
        <v>342</v>
      </c>
      <c r="D6" s="52" t="s">
        <v>382</v>
      </c>
      <c r="E6" s="3" t="s">
        <v>81</v>
      </c>
      <c r="F6" s="9">
        <v>4</v>
      </c>
      <c r="G6" s="9"/>
      <c r="H6" s="9"/>
      <c r="I6" s="9"/>
      <c r="J6" s="9">
        <f t="shared" si="0"/>
        <v>0</v>
      </c>
      <c r="K6" s="11" t="s">
        <v>85</v>
      </c>
      <c r="L6" s="9">
        <f t="shared" si="1"/>
        <v>0</v>
      </c>
      <c r="W6" s="9">
        <f t="shared" si="2"/>
        <v>0</v>
      </c>
      <c r="X6" s="9">
        <f t="shared" si="3"/>
        <v>0</v>
      </c>
      <c r="Y6" s="9">
        <f t="shared" si="4"/>
        <v>0</v>
      </c>
      <c r="AA6" s="14">
        <v>15</v>
      </c>
      <c r="AB6" s="14">
        <f t="shared" si="5"/>
        <v>0</v>
      </c>
      <c r="AC6" s="14">
        <f t="shared" si="6"/>
        <v>0</v>
      </c>
      <c r="AJ6" s="14">
        <f t="shared" si="7"/>
        <v>0</v>
      </c>
      <c r="AK6" s="14">
        <f t="shared" si="8"/>
        <v>0</v>
      </c>
      <c r="AL6" s="15" t="s">
        <v>75</v>
      </c>
      <c r="AM6" s="15" t="s">
        <v>76</v>
      </c>
      <c r="AN6" s="39" t="s">
        <v>77</v>
      </c>
    </row>
    <row r="7" spans="1:40" ht="25.5" x14ac:dyDescent="0.2">
      <c r="A7" s="3" t="s">
        <v>85</v>
      </c>
      <c r="B7" s="3"/>
      <c r="C7" s="3" t="s">
        <v>342</v>
      </c>
      <c r="D7" s="52" t="s">
        <v>381</v>
      </c>
      <c r="E7" s="3" t="s">
        <v>81</v>
      </c>
      <c r="F7" s="9">
        <v>2</v>
      </c>
      <c r="G7" s="9"/>
      <c r="H7" s="9"/>
      <c r="I7" s="9"/>
      <c r="J7" s="9">
        <f t="shared" si="0"/>
        <v>0</v>
      </c>
      <c r="K7" s="11" t="s">
        <v>85</v>
      </c>
      <c r="L7" s="9">
        <f t="shared" si="1"/>
        <v>0</v>
      </c>
      <c r="W7" s="9">
        <f t="shared" si="2"/>
        <v>0</v>
      </c>
      <c r="X7" s="9">
        <f t="shared" si="3"/>
        <v>0</v>
      </c>
      <c r="Y7" s="9">
        <f t="shared" si="4"/>
        <v>0</v>
      </c>
      <c r="AA7" s="14">
        <v>15</v>
      </c>
      <c r="AB7" s="14">
        <f t="shared" si="5"/>
        <v>0</v>
      </c>
      <c r="AC7" s="14">
        <f t="shared" si="6"/>
        <v>0</v>
      </c>
      <c r="AJ7" s="14">
        <f t="shared" si="7"/>
        <v>0</v>
      </c>
      <c r="AK7" s="14">
        <f t="shared" si="8"/>
        <v>0</v>
      </c>
      <c r="AL7" s="15" t="s">
        <v>75</v>
      </c>
      <c r="AM7" s="15" t="s">
        <v>76</v>
      </c>
      <c r="AN7" s="39" t="s">
        <v>77</v>
      </c>
    </row>
    <row r="8" spans="1:40" ht="25.5" x14ac:dyDescent="0.2">
      <c r="A8" s="3" t="s">
        <v>82</v>
      </c>
      <c r="B8" s="3"/>
      <c r="C8" s="3" t="s">
        <v>343</v>
      </c>
      <c r="D8" s="52" t="s">
        <v>383</v>
      </c>
      <c r="E8" s="3" t="s">
        <v>81</v>
      </c>
      <c r="F8" s="9">
        <v>2</v>
      </c>
      <c r="G8" s="9"/>
      <c r="H8" s="9"/>
      <c r="I8" s="9"/>
      <c r="J8" s="9">
        <f t="shared" si="0"/>
        <v>0</v>
      </c>
      <c r="K8" s="11" t="s">
        <v>85</v>
      </c>
      <c r="L8" s="9">
        <f t="shared" si="1"/>
        <v>0</v>
      </c>
      <c r="W8" s="9">
        <f t="shared" si="2"/>
        <v>0</v>
      </c>
      <c r="X8" s="9">
        <f t="shared" si="3"/>
        <v>0</v>
      </c>
      <c r="Y8" s="9">
        <f t="shared" si="4"/>
        <v>0</v>
      </c>
      <c r="AA8" s="14">
        <v>15</v>
      </c>
      <c r="AB8" s="14">
        <f t="shared" si="5"/>
        <v>0</v>
      </c>
      <c r="AC8" s="14">
        <f t="shared" si="6"/>
        <v>0</v>
      </c>
      <c r="AJ8" s="14">
        <f t="shared" si="7"/>
        <v>0</v>
      </c>
      <c r="AK8" s="14">
        <f t="shared" si="8"/>
        <v>0</v>
      </c>
      <c r="AL8" s="15" t="s">
        <v>75</v>
      </c>
      <c r="AM8" s="15" t="s">
        <v>76</v>
      </c>
      <c r="AN8" s="39" t="s">
        <v>77</v>
      </c>
    </row>
    <row r="9" spans="1:40" ht="25.5" x14ac:dyDescent="0.2">
      <c r="A9" s="3" t="s">
        <v>87</v>
      </c>
      <c r="B9" s="3"/>
      <c r="C9" s="3" t="s">
        <v>344</v>
      </c>
      <c r="D9" s="52" t="s">
        <v>384</v>
      </c>
      <c r="E9" s="3" t="s">
        <v>81</v>
      </c>
      <c r="F9" s="9">
        <v>1</v>
      </c>
      <c r="G9" s="9"/>
      <c r="H9" s="9"/>
      <c r="I9" s="9"/>
      <c r="J9" s="9">
        <f t="shared" si="0"/>
        <v>0</v>
      </c>
      <c r="K9" s="11" t="s">
        <v>85</v>
      </c>
      <c r="L9" s="9">
        <f t="shared" si="1"/>
        <v>0</v>
      </c>
      <c r="W9" s="9">
        <f t="shared" si="2"/>
        <v>0</v>
      </c>
      <c r="X9" s="9">
        <f t="shared" si="3"/>
        <v>0</v>
      </c>
      <c r="Y9" s="9">
        <f t="shared" si="4"/>
        <v>0</v>
      </c>
      <c r="AA9" s="14">
        <v>15</v>
      </c>
      <c r="AB9" s="14">
        <f t="shared" si="5"/>
        <v>0</v>
      </c>
      <c r="AC9" s="14">
        <f t="shared" si="6"/>
        <v>0</v>
      </c>
      <c r="AJ9" s="14">
        <f t="shared" si="7"/>
        <v>0</v>
      </c>
      <c r="AK9" s="14">
        <f t="shared" si="8"/>
        <v>0</v>
      </c>
      <c r="AL9" s="15" t="s">
        <v>75</v>
      </c>
      <c r="AM9" s="15" t="s">
        <v>76</v>
      </c>
      <c r="AN9" s="39" t="s">
        <v>77</v>
      </c>
    </row>
    <row r="10" spans="1:40" ht="25.5" x14ac:dyDescent="0.2">
      <c r="A10" s="3" t="s">
        <v>89</v>
      </c>
      <c r="B10" s="3"/>
      <c r="C10" s="3" t="s">
        <v>345</v>
      </c>
      <c r="D10" s="52" t="s">
        <v>385</v>
      </c>
      <c r="E10" s="3" t="s">
        <v>81</v>
      </c>
      <c r="F10" s="9">
        <v>1</v>
      </c>
      <c r="G10" s="9"/>
      <c r="H10" s="9"/>
      <c r="I10" s="9"/>
      <c r="J10" s="9">
        <f t="shared" si="0"/>
        <v>0</v>
      </c>
      <c r="K10" s="11" t="s">
        <v>85</v>
      </c>
      <c r="L10" s="9">
        <f t="shared" si="1"/>
        <v>0</v>
      </c>
      <c r="W10" s="9">
        <f t="shared" si="2"/>
        <v>0</v>
      </c>
      <c r="X10" s="9">
        <f t="shared" si="3"/>
        <v>0</v>
      </c>
      <c r="Y10" s="9">
        <f t="shared" si="4"/>
        <v>0</v>
      </c>
      <c r="AA10" s="14">
        <v>15</v>
      </c>
      <c r="AB10" s="14">
        <f t="shared" si="5"/>
        <v>0</v>
      </c>
      <c r="AC10" s="14">
        <f t="shared" si="6"/>
        <v>0</v>
      </c>
      <c r="AJ10" s="14">
        <f t="shared" si="7"/>
        <v>0</v>
      </c>
      <c r="AK10" s="14">
        <f t="shared" si="8"/>
        <v>0</v>
      </c>
      <c r="AL10" s="15" t="s">
        <v>75</v>
      </c>
      <c r="AM10" s="15" t="s">
        <v>76</v>
      </c>
      <c r="AN10" s="39" t="s">
        <v>77</v>
      </c>
    </row>
    <row r="11" spans="1:40" x14ac:dyDescent="0.2">
      <c r="A11" s="182"/>
      <c r="B11" s="185"/>
      <c r="C11" s="185" t="s">
        <v>24</v>
      </c>
      <c r="D11" s="329" t="s">
        <v>354</v>
      </c>
      <c r="E11" s="330"/>
      <c r="F11" s="330"/>
      <c r="G11" s="330"/>
      <c r="H11" s="51">
        <f>SUM(H12:H23)</f>
        <v>0</v>
      </c>
      <c r="I11" s="51">
        <f>SUM(I12:I20)</f>
        <v>0</v>
      </c>
      <c r="J11" s="51">
        <f>H11+I11</f>
        <v>0</v>
      </c>
      <c r="M11" s="51">
        <f>IF(N11="PR",J11,SUM(L12:L23))</f>
        <v>0</v>
      </c>
      <c r="N11" s="39" t="s">
        <v>72</v>
      </c>
      <c r="O11" s="51">
        <f>IF(N11="HS",H11,0)</f>
        <v>0</v>
      </c>
      <c r="P11" s="51">
        <f>IF(N11="HS",I11-M11,0)</f>
        <v>0</v>
      </c>
      <c r="Q11" s="51">
        <f>IF(N11="PS",H11,0)</f>
        <v>0</v>
      </c>
      <c r="R11" s="51">
        <f>IF(N11="PS",I11-M11,0)</f>
        <v>0</v>
      </c>
      <c r="S11" s="51">
        <f>IF(N11="MP",H11,0)</f>
        <v>0</v>
      </c>
      <c r="T11" s="51">
        <f>IF(N11="MP",I11-M11,0)</f>
        <v>0</v>
      </c>
      <c r="U11" s="51">
        <f>IF(N11="OM",H11,0)</f>
        <v>0</v>
      </c>
      <c r="V11" s="39"/>
      <c r="AF11" s="51" t="e">
        <f>SUM(W12:W23)</f>
        <v>#REF!</v>
      </c>
      <c r="AG11" s="51" t="e">
        <f>SUM(X12:X23)</f>
        <v>#REF!</v>
      </c>
      <c r="AH11" s="51">
        <f>SUM(Y12:Y23)</f>
        <v>0</v>
      </c>
    </row>
    <row r="12" spans="1:40" x14ac:dyDescent="0.2">
      <c r="A12" s="3" t="s">
        <v>93</v>
      </c>
      <c r="B12" s="3"/>
      <c r="C12" s="3"/>
      <c r="D12" s="52" t="s">
        <v>355</v>
      </c>
      <c r="E12" s="3" t="s">
        <v>130</v>
      </c>
      <c r="F12" s="9">
        <v>3</v>
      </c>
      <c r="G12" s="9"/>
      <c r="H12" s="9"/>
      <c r="I12" s="9"/>
      <c r="J12" s="9">
        <f t="shared" ref="J12:J19" si="9">ROUND(F12*G12,2)</f>
        <v>0</v>
      </c>
      <c r="K12" s="11" t="s">
        <v>73</v>
      </c>
      <c r="L12" s="9">
        <f t="shared" ref="L12:L20" si="10">IF(K12="5",I12,0)</f>
        <v>0</v>
      </c>
      <c r="W12" s="9">
        <f t="shared" ref="W12:W20" si="11">IF(AA12=0,J12,0)</f>
        <v>0</v>
      </c>
      <c r="X12" s="9">
        <f t="shared" ref="X12:X20" si="12">IF(AA12=15,J12,0)</f>
        <v>0</v>
      </c>
      <c r="Y12" s="9">
        <f t="shared" ref="Y12:Y20" si="13">IF(AA12=21,J12,0)</f>
        <v>0</v>
      </c>
      <c r="AA12" s="14">
        <v>15</v>
      </c>
      <c r="AB12" s="14">
        <f t="shared" ref="AB12:AB20" si="14">G12*0</f>
        <v>0</v>
      </c>
      <c r="AC12" s="14">
        <f t="shared" ref="AC12:AC20" si="15">G12*(1-0)</f>
        <v>0</v>
      </c>
      <c r="AJ12" s="14">
        <f t="shared" ref="AJ12:AJ20" si="16">F12*AB12</f>
        <v>0</v>
      </c>
      <c r="AK12" s="14">
        <f t="shared" ref="AK12:AK20" si="17">F12*AC12</f>
        <v>0</v>
      </c>
      <c r="AL12" s="15" t="s">
        <v>75</v>
      </c>
      <c r="AM12" s="15" t="s">
        <v>76</v>
      </c>
      <c r="AN12" s="39" t="s">
        <v>77</v>
      </c>
    </row>
    <row r="13" spans="1:40" x14ac:dyDescent="0.2">
      <c r="A13" s="3" t="s">
        <v>96</v>
      </c>
      <c r="B13" s="3"/>
      <c r="C13" s="3"/>
      <c r="D13" s="52" t="s">
        <v>356</v>
      </c>
      <c r="E13" s="3" t="s">
        <v>81</v>
      </c>
      <c r="F13" s="9">
        <v>9</v>
      </c>
      <c r="G13" s="9"/>
      <c r="H13" s="9"/>
      <c r="I13" s="9"/>
      <c r="J13" s="9">
        <f t="shared" si="9"/>
        <v>0</v>
      </c>
      <c r="K13" s="11" t="s">
        <v>85</v>
      </c>
      <c r="L13" s="9">
        <f t="shared" si="10"/>
        <v>0</v>
      </c>
      <c r="W13" s="9">
        <f t="shared" si="11"/>
        <v>0</v>
      </c>
      <c r="X13" s="9">
        <f t="shared" si="12"/>
        <v>0</v>
      </c>
      <c r="Y13" s="9">
        <f t="shared" si="13"/>
        <v>0</v>
      </c>
      <c r="AA13" s="14">
        <v>15</v>
      </c>
      <c r="AB13" s="14">
        <f t="shared" si="14"/>
        <v>0</v>
      </c>
      <c r="AC13" s="14">
        <f t="shared" si="15"/>
        <v>0</v>
      </c>
      <c r="AJ13" s="14">
        <f t="shared" si="16"/>
        <v>0</v>
      </c>
      <c r="AK13" s="14">
        <f t="shared" si="17"/>
        <v>0</v>
      </c>
      <c r="AL13" s="15" t="s">
        <v>75</v>
      </c>
      <c r="AM13" s="15" t="s">
        <v>76</v>
      </c>
      <c r="AN13" s="39" t="s">
        <v>77</v>
      </c>
    </row>
    <row r="14" spans="1:40" x14ac:dyDescent="0.2">
      <c r="A14" s="3" t="s">
        <v>98</v>
      </c>
      <c r="B14" s="3"/>
      <c r="C14" s="3"/>
      <c r="D14" s="52" t="s">
        <v>357</v>
      </c>
      <c r="E14" s="3" t="s">
        <v>81</v>
      </c>
      <c r="F14" s="9">
        <v>9</v>
      </c>
      <c r="G14" s="9"/>
      <c r="H14" s="9"/>
      <c r="I14" s="9"/>
      <c r="J14" s="9">
        <f t="shared" si="9"/>
        <v>0</v>
      </c>
      <c r="K14" s="11" t="s">
        <v>85</v>
      </c>
      <c r="L14" s="9">
        <f t="shared" si="10"/>
        <v>0</v>
      </c>
      <c r="W14" s="9">
        <f t="shared" si="11"/>
        <v>0</v>
      </c>
      <c r="X14" s="9">
        <f t="shared" si="12"/>
        <v>0</v>
      </c>
      <c r="Y14" s="9">
        <f t="shared" si="13"/>
        <v>0</v>
      </c>
      <c r="AA14" s="14">
        <v>15</v>
      </c>
      <c r="AB14" s="14">
        <f t="shared" si="14"/>
        <v>0</v>
      </c>
      <c r="AC14" s="14">
        <f t="shared" si="15"/>
        <v>0</v>
      </c>
      <c r="AJ14" s="14">
        <f t="shared" si="16"/>
        <v>0</v>
      </c>
      <c r="AK14" s="14">
        <f t="shared" si="17"/>
        <v>0</v>
      </c>
      <c r="AL14" s="15" t="s">
        <v>75</v>
      </c>
      <c r="AM14" s="15" t="s">
        <v>76</v>
      </c>
      <c r="AN14" s="39" t="s">
        <v>77</v>
      </c>
    </row>
    <row r="15" spans="1:40" x14ac:dyDescent="0.2">
      <c r="A15" s="3" t="s">
        <v>102</v>
      </c>
      <c r="B15" s="3"/>
      <c r="C15" s="3"/>
      <c r="D15" s="52" t="s">
        <v>358</v>
      </c>
      <c r="E15" s="3" t="s">
        <v>81</v>
      </c>
      <c r="F15" s="9">
        <v>1</v>
      </c>
      <c r="G15" s="9"/>
      <c r="H15" s="9"/>
      <c r="I15" s="9"/>
      <c r="J15" s="9">
        <f t="shared" si="9"/>
        <v>0</v>
      </c>
      <c r="K15" s="11" t="s">
        <v>85</v>
      </c>
      <c r="L15" s="9">
        <f t="shared" si="10"/>
        <v>0</v>
      </c>
      <c r="W15" s="9">
        <f t="shared" si="11"/>
        <v>0</v>
      </c>
      <c r="X15" s="9">
        <f t="shared" si="12"/>
        <v>0</v>
      </c>
      <c r="Y15" s="9">
        <f t="shared" si="13"/>
        <v>0</v>
      </c>
      <c r="AA15" s="14">
        <v>15</v>
      </c>
      <c r="AB15" s="14">
        <f t="shared" si="14"/>
        <v>0</v>
      </c>
      <c r="AC15" s="14">
        <f t="shared" si="15"/>
        <v>0</v>
      </c>
      <c r="AJ15" s="14">
        <f t="shared" si="16"/>
        <v>0</v>
      </c>
      <c r="AK15" s="14">
        <f t="shared" si="17"/>
        <v>0</v>
      </c>
      <c r="AL15" s="15" t="s">
        <v>75</v>
      </c>
      <c r="AM15" s="15" t="s">
        <v>76</v>
      </c>
      <c r="AN15" s="39" t="s">
        <v>77</v>
      </c>
    </row>
    <row r="16" spans="1:40" x14ac:dyDescent="0.2">
      <c r="A16" s="3" t="s">
        <v>24</v>
      </c>
      <c r="B16" s="3"/>
      <c r="C16" s="3"/>
      <c r="D16" s="52" t="s">
        <v>359</v>
      </c>
      <c r="E16" s="3" t="s">
        <v>81</v>
      </c>
      <c r="F16" s="9">
        <v>2</v>
      </c>
      <c r="G16" s="9"/>
      <c r="H16" s="9"/>
      <c r="I16" s="9"/>
      <c r="J16" s="9">
        <f t="shared" si="9"/>
        <v>0</v>
      </c>
      <c r="K16" s="11" t="s">
        <v>85</v>
      </c>
      <c r="L16" s="9">
        <f t="shared" si="10"/>
        <v>0</v>
      </c>
      <c r="W16" s="9">
        <f t="shared" si="11"/>
        <v>0</v>
      </c>
      <c r="X16" s="9">
        <f t="shared" si="12"/>
        <v>0</v>
      </c>
      <c r="Y16" s="9">
        <f t="shared" si="13"/>
        <v>0</v>
      </c>
      <c r="AA16" s="14">
        <v>15</v>
      </c>
      <c r="AB16" s="14">
        <f t="shared" si="14"/>
        <v>0</v>
      </c>
      <c r="AC16" s="14">
        <f t="shared" si="15"/>
        <v>0</v>
      </c>
      <c r="AJ16" s="14">
        <f t="shared" si="16"/>
        <v>0</v>
      </c>
      <c r="AK16" s="14">
        <f t="shared" si="17"/>
        <v>0</v>
      </c>
      <c r="AL16" s="15" t="s">
        <v>75</v>
      </c>
      <c r="AM16" s="15" t="s">
        <v>76</v>
      </c>
      <c r="AN16" s="39" t="s">
        <v>77</v>
      </c>
    </row>
    <row r="17" spans="1:40" x14ac:dyDescent="0.2">
      <c r="A17" s="3" t="s">
        <v>26</v>
      </c>
      <c r="B17" s="3"/>
      <c r="C17" s="3"/>
      <c r="D17" s="52" t="s">
        <v>360</v>
      </c>
      <c r="E17" s="3" t="s">
        <v>81</v>
      </c>
      <c r="F17" s="9">
        <v>4</v>
      </c>
      <c r="G17" s="9"/>
      <c r="H17" s="9"/>
      <c r="I17" s="9"/>
      <c r="J17" s="9">
        <f t="shared" si="9"/>
        <v>0</v>
      </c>
      <c r="K17" s="11" t="s">
        <v>85</v>
      </c>
      <c r="L17" s="9">
        <f t="shared" si="10"/>
        <v>0</v>
      </c>
      <c r="W17" s="9">
        <f t="shared" si="11"/>
        <v>0</v>
      </c>
      <c r="X17" s="9">
        <f t="shared" si="12"/>
        <v>0</v>
      </c>
      <c r="Y17" s="9">
        <f t="shared" si="13"/>
        <v>0</v>
      </c>
      <c r="AA17" s="14">
        <v>15</v>
      </c>
      <c r="AB17" s="14">
        <f t="shared" si="14"/>
        <v>0</v>
      </c>
      <c r="AC17" s="14">
        <f t="shared" si="15"/>
        <v>0</v>
      </c>
      <c r="AJ17" s="14">
        <f t="shared" si="16"/>
        <v>0</v>
      </c>
      <c r="AK17" s="14">
        <f t="shared" si="17"/>
        <v>0</v>
      </c>
      <c r="AL17" s="15" t="s">
        <v>75</v>
      </c>
      <c r="AM17" s="15" t="s">
        <v>76</v>
      </c>
      <c r="AN17" s="39" t="s">
        <v>77</v>
      </c>
    </row>
    <row r="18" spans="1:40" x14ac:dyDescent="0.2">
      <c r="A18" s="3" t="s">
        <v>107</v>
      </c>
      <c r="B18" s="3"/>
      <c r="C18" s="3"/>
      <c r="D18" s="52" t="s">
        <v>361</v>
      </c>
      <c r="E18" s="3" t="s">
        <v>81</v>
      </c>
      <c r="F18" s="9">
        <v>6</v>
      </c>
      <c r="G18" s="9"/>
      <c r="H18" s="9"/>
      <c r="I18" s="9"/>
      <c r="J18" s="9">
        <f t="shared" si="9"/>
        <v>0</v>
      </c>
      <c r="K18" s="11" t="s">
        <v>85</v>
      </c>
      <c r="L18" s="9">
        <f t="shared" si="10"/>
        <v>0</v>
      </c>
      <c r="W18" s="9">
        <f t="shared" si="11"/>
        <v>0</v>
      </c>
      <c r="X18" s="9">
        <f t="shared" si="12"/>
        <v>0</v>
      </c>
      <c r="Y18" s="9">
        <f t="shared" si="13"/>
        <v>0</v>
      </c>
      <c r="AA18" s="14">
        <v>15</v>
      </c>
      <c r="AB18" s="14">
        <f t="shared" si="14"/>
        <v>0</v>
      </c>
      <c r="AC18" s="14">
        <f t="shared" si="15"/>
        <v>0</v>
      </c>
      <c r="AJ18" s="14">
        <f t="shared" si="16"/>
        <v>0</v>
      </c>
      <c r="AK18" s="14">
        <f t="shared" si="17"/>
        <v>0</v>
      </c>
      <c r="AL18" s="15" t="s">
        <v>75</v>
      </c>
      <c r="AM18" s="15" t="s">
        <v>76</v>
      </c>
      <c r="AN18" s="39" t="s">
        <v>77</v>
      </c>
    </row>
    <row r="19" spans="1:40" x14ac:dyDescent="0.2">
      <c r="A19" s="3" t="s">
        <v>110</v>
      </c>
      <c r="B19" s="3"/>
      <c r="C19" s="3"/>
      <c r="D19" s="52" t="s">
        <v>362</v>
      </c>
      <c r="E19" s="3" t="s">
        <v>81</v>
      </c>
      <c r="F19" s="9">
        <v>6</v>
      </c>
      <c r="G19" s="9"/>
      <c r="H19" s="9"/>
      <c r="I19" s="9"/>
      <c r="J19" s="9">
        <f t="shared" si="9"/>
        <v>0</v>
      </c>
      <c r="K19" s="11" t="s">
        <v>85</v>
      </c>
      <c r="L19" s="9">
        <f t="shared" si="10"/>
        <v>0</v>
      </c>
      <c r="W19" s="9">
        <f t="shared" si="11"/>
        <v>0</v>
      </c>
      <c r="X19" s="9">
        <f t="shared" si="12"/>
        <v>0</v>
      </c>
      <c r="Y19" s="9">
        <f t="shared" si="13"/>
        <v>0</v>
      </c>
      <c r="AA19" s="14">
        <v>15</v>
      </c>
      <c r="AB19" s="14">
        <f t="shared" si="14"/>
        <v>0</v>
      </c>
      <c r="AC19" s="14">
        <f t="shared" si="15"/>
        <v>0</v>
      </c>
      <c r="AJ19" s="14">
        <f t="shared" si="16"/>
        <v>0</v>
      </c>
      <c r="AK19" s="14">
        <f t="shared" si="17"/>
        <v>0</v>
      </c>
      <c r="AL19" s="15" t="s">
        <v>75</v>
      </c>
      <c r="AM19" s="15" t="s">
        <v>76</v>
      </c>
      <c r="AN19" s="39" t="s">
        <v>77</v>
      </c>
    </row>
    <row r="20" spans="1:40" ht="25.5" x14ac:dyDescent="0.2">
      <c r="A20" s="3" t="s">
        <v>111</v>
      </c>
      <c r="B20" s="53"/>
      <c r="C20" s="53"/>
      <c r="D20" s="99" t="s">
        <v>363</v>
      </c>
      <c r="E20" s="53" t="s">
        <v>81</v>
      </c>
      <c r="F20" s="54">
        <v>1</v>
      </c>
      <c r="G20" s="54"/>
      <c r="H20" s="54"/>
      <c r="I20" s="54"/>
      <c r="J20" s="54">
        <f>ROUND(F20*G20,2)</f>
        <v>0</v>
      </c>
      <c r="K20" s="11" t="s">
        <v>85</v>
      </c>
      <c r="L20" s="9">
        <f t="shared" si="10"/>
        <v>0</v>
      </c>
      <c r="W20" s="9">
        <f t="shared" si="11"/>
        <v>0</v>
      </c>
      <c r="X20" s="9">
        <f t="shared" si="12"/>
        <v>0</v>
      </c>
      <c r="Y20" s="9">
        <f t="shared" si="13"/>
        <v>0</v>
      </c>
      <c r="AA20" s="14">
        <v>15</v>
      </c>
      <c r="AB20" s="14">
        <f t="shared" si="14"/>
        <v>0</v>
      </c>
      <c r="AC20" s="14">
        <f t="shared" si="15"/>
        <v>0</v>
      </c>
      <c r="AJ20" s="14">
        <f t="shared" si="16"/>
        <v>0</v>
      </c>
      <c r="AK20" s="14">
        <f t="shared" si="17"/>
        <v>0</v>
      </c>
      <c r="AL20" s="15" t="s">
        <v>75</v>
      </c>
      <c r="AM20" s="15" t="s">
        <v>76</v>
      </c>
      <c r="AN20" s="39" t="s">
        <v>77</v>
      </c>
    </row>
    <row r="21" spans="1:40" x14ac:dyDescent="0.2">
      <c r="A21" s="33"/>
      <c r="B21" s="33"/>
      <c r="C21" s="33"/>
      <c r="D21" s="46"/>
      <c r="E21" s="33"/>
      <c r="F21" s="33"/>
      <c r="G21" s="33"/>
      <c r="H21" s="325" t="s">
        <v>263</v>
      </c>
      <c r="I21" s="325"/>
      <c r="J21" s="14">
        <f>J11+J4</f>
        <v>0</v>
      </c>
      <c r="V21" s="14" t="e">
        <f>SUM(#REF!)</f>
        <v>#REF!</v>
      </c>
      <c r="W21" s="14" t="e">
        <f>SUM(#REF!)</f>
        <v>#REF!</v>
      </c>
      <c r="X21" s="14" t="e">
        <f>SUM(#REF!)</f>
        <v>#REF!</v>
      </c>
    </row>
    <row r="22" spans="1:40" ht="11.25" customHeight="1" x14ac:dyDescent="0.2">
      <c r="A22" s="6" t="s">
        <v>9</v>
      </c>
      <c r="D22" s="189" t="s">
        <v>364</v>
      </c>
    </row>
    <row r="23" spans="1:40" ht="409.6" hidden="1" customHeight="1" x14ac:dyDescent="0.2">
      <c r="A23" s="56"/>
      <c r="B23" s="33"/>
      <c r="C23" s="33"/>
      <c r="D23" s="56"/>
      <c r="E23" s="33"/>
      <c r="F23" s="33"/>
      <c r="G23" s="33"/>
      <c r="H23" s="33"/>
      <c r="I23" s="33"/>
      <c r="J23" s="33"/>
    </row>
    <row r="24" spans="1:40" ht="25.5" x14ac:dyDescent="0.2">
      <c r="D24" s="189" t="s">
        <v>365</v>
      </c>
    </row>
    <row r="25" spans="1:40" x14ac:dyDescent="0.2">
      <c r="D25" s="93" t="s">
        <v>366</v>
      </c>
    </row>
  </sheetData>
  <mergeCells count="5">
    <mergeCell ref="H21:I21"/>
    <mergeCell ref="H2:J2"/>
    <mergeCell ref="D4:G4"/>
    <mergeCell ref="A1:I1"/>
    <mergeCell ref="D11:G11"/>
  </mergeCells>
  <pageMargins left="0.7" right="0.7" top="0.78740157499999996" bottom="0.78740157499999996" header="0.3" footer="0.3"/>
  <pageSetup paperSize="9" orientation="landscape" horizontalDpi="4294967294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33"/>
  <sheetViews>
    <sheetView tabSelected="1" workbookViewId="0">
      <selection activeCell="E29" sqref="E29"/>
    </sheetView>
  </sheetViews>
  <sheetFormatPr defaultColWidth="11.5703125" defaultRowHeight="12.75" x14ac:dyDescent="0.2"/>
  <cols>
    <col min="1" max="1" width="3.7109375" customWidth="1"/>
    <col min="2" max="2" width="6.85546875" customWidth="1"/>
    <col min="3" max="3" width="13.28515625" customWidth="1"/>
    <col min="4" max="4" width="46" customWidth="1"/>
    <col min="5" max="5" width="4.28515625" customWidth="1"/>
    <col min="6" max="6" width="9.85546875" customWidth="1"/>
    <col min="7" max="7" width="10.140625" customWidth="1"/>
    <col min="8" max="8" width="9.28515625" customWidth="1"/>
    <col min="9" max="9" width="11.140625" customWidth="1"/>
    <col min="10" max="10" width="14.42578125" customWidth="1"/>
    <col min="11" max="11" width="0" hidden="1" customWidth="1"/>
    <col min="12" max="44" width="12.140625" hidden="1" customWidth="1"/>
  </cols>
  <sheetData>
    <row r="1" spans="1:40" ht="72.95" customHeight="1" thickBot="1" x14ac:dyDescent="0.4">
      <c r="A1" s="288" t="s">
        <v>425</v>
      </c>
      <c r="B1" s="288"/>
      <c r="C1" s="288"/>
      <c r="D1" s="288"/>
      <c r="E1" s="288"/>
      <c r="F1" s="288"/>
      <c r="G1" s="288"/>
      <c r="H1" s="288"/>
      <c r="I1" s="288"/>
      <c r="J1" s="100"/>
    </row>
    <row r="2" spans="1:40" x14ac:dyDescent="0.2">
      <c r="A2" s="58" t="s">
        <v>50</v>
      </c>
      <c r="B2" s="59" t="s">
        <v>13</v>
      </c>
      <c r="C2" s="59" t="s">
        <v>18</v>
      </c>
      <c r="D2" s="59" t="s">
        <v>51</v>
      </c>
      <c r="E2" s="59" t="s">
        <v>52</v>
      </c>
      <c r="F2" s="60" t="s">
        <v>53</v>
      </c>
      <c r="G2" s="61" t="s">
        <v>54</v>
      </c>
      <c r="H2" s="326" t="s">
        <v>55</v>
      </c>
      <c r="I2" s="327"/>
      <c r="J2" s="328"/>
      <c r="K2" s="13"/>
    </row>
    <row r="3" spans="1:40" ht="13.5" thickBot="1" x14ac:dyDescent="0.25">
      <c r="A3" s="2" t="s">
        <v>57</v>
      </c>
      <c r="B3" s="7" t="s">
        <v>57</v>
      </c>
      <c r="C3" s="7" t="s">
        <v>57</v>
      </c>
      <c r="D3" s="62" t="s">
        <v>58</v>
      </c>
      <c r="E3" s="7" t="s">
        <v>57</v>
      </c>
      <c r="F3" s="7" t="s">
        <v>57</v>
      </c>
      <c r="G3" s="63" t="s">
        <v>59</v>
      </c>
      <c r="H3" s="64" t="s">
        <v>60</v>
      </c>
      <c r="I3" s="65" t="s">
        <v>8</v>
      </c>
      <c r="J3" s="66" t="s">
        <v>61</v>
      </c>
      <c r="K3" s="13"/>
      <c r="M3" s="39" t="s">
        <v>62</v>
      </c>
      <c r="N3" s="39" t="s">
        <v>63</v>
      </c>
      <c r="O3" s="39" t="s">
        <v>64</v>
      </c>
      <c r="P3" s="39" t="s">
        <v>65</v>
      </c>
      <c r="Q3" s="39" t="s">
        <v>66</v>
      </c>
      <c r="R3" s="39" t="s">
        <v>67</v>
      </c>
      <c r="S3" s="39" t="s">
        <v>68</v>
      </c>
      <c r="T3" s="39" t="s">
        <v>69</v>
      </c>
      <c r="U3" s="39" t="s">
        <v>70</v>
      </c>
    </row>
    <row r="4" spans="1:40" ht="13.5" thickBot="1" x14ac:dyDescent="0.25">
      <c r="A4" s="181"/>
      <c r="B4" s="181"/>
      <c r="C4" s="181"/>
      <c r="D4" s="69" t="s">
        <v>367</v>
      </c>
      <c r="E4" s="181"/>
      <c r="F4" s="181"/>
      <c r="G4" s="38"/>
      <c r="H4" s="87"/>
      <c r="I4" s="87"/>
      <c r="J4" s="87"/>
      <c r="K4" s="33"/>
      <c r="M4" s="39"/>
      <c r="N4" s="39"/>
      <c r="O4" s="39"/>
      <c r="P4" s="39"/>
      <c r="Q4" s="39"/>
      <c r="R4" s="39"/>
      <c r="S4" s="39"/>
      <c r="T4" s="39"/>
      <c r="U4" s="39"/>
    </row>
    <row r="5" spans="1:40" x14ac:dyDescent="0.2">
      <c r="A5" s="213"/>
      <c r="B5" s="207"/>
      <c r="C5" s="207" t="s">
        <v>24</v>
      </c>
      <c r="D5" s="322" t="s">
        <v>389</v>
      </c>
      <c r="E5" s="323"/>
      <c r="F5" s="323"/>
      <c r="G5" s="323"/>
      <c r="H5" s="67">
        <f>SUM(H6:H13)</f>
        <v>0</v>
      </c>
      <c r="I5" s="67">
        <f>SUM(I6:I13)</f>
        <v>0</v>
      </c>
      <c r="J5" s="214">
        <f>H5+I5</f>
        <v>0</v>
      </c>
      <c r="M5" s="51">
        <f>IF(N5="PR",J5,SUM(L8:L16))</f>
        <v>0</v>
      </c>
      <c r="N5" s="39" t="s">
        <v>72</v>
      </c>
      <c r="O5" s="51">
        <f>IF(N5="HS",H5,0)</f>
        <v>0</v>
      </c>
      <c r="P5" s="51">
        <f>IF(N5="HS",I5-M5,0)</f>
        <v>0</v>
      </c>
      <c r="Q5" s="51">
        <f>IF(N5="PS",H5,0)</f>
        <v>0</v>
      </c>
      <c r="R5" s="51">
        <f>IF(N5="PS",I5-M5,0)</f>
        <v>0</v>
      </c>
      <c r="S5" s="51">
        <f>IF(N5="MP",H5,0)</f>
        <v>0</v>
      </c>
      <c r="T5" s="51">
        <f>IF(N5="MP",I5-M5,0)</f>
        <v>0</v>
      </c>
      <c r="U5" s="51">
        <f>IF(N5="OM",H5,0)</f>
        <v>0</v>
      </c>
      <c r="V5" s="39"/>
      <c r="AF5" s="51">
        <f>SUM(W8:W16)</f>
        <v>0</v>
      </c>
      <c r="AG5" s="51">
        <f>SUM(X8:X16)</f>
        <v>0</v>
      </c>
      <c r="AH5" s="51">
        <f>SUM(Y8:Y16)</f>
        <v>0</v>
      </c>
    </row>
    <row r="6" spans="1:40" x14ac:dyDescent="0.2">
      <c r="A6" s="215" t="s">
        <v>73</v>
      </c>
      <c r="B6" s="3"/>
      <c r="C6" s="3"/>
      <c r="D6" s="3" t="s">
        <v>368</v>
      </c>
      <c r="E6" s="3" t="s">
        <v>130</v>
      </c>
      <c r="F6" s="9">
        <v>48</v>
      </c>
      <c r="G6" s="9"/>
      <c r="H6" s="9"/>
      <c r="I6" s="9"/>
      <c r="J6" s="216">
        <f>ROUND(F6*G6,2)</f>
        <v>0</v>
      </c>
      <c r="K6" s="11" t="s">
        <v>73</v>
      </c>
      <c r="L6" s="9">
        <f t="shared" ref="L6:L13" si="0">IF(K6="5",I6,0)</f>
        <v>0</v>
      </c>
      <c r="W6" s="9">
        <f t="shared" ref="W6:W13" si="1">IF(AA6=0,J6,0)</f>
        <v>0</v>
      </c>
      <c r="X6" s="9">
        <f t="shared" ref="X6:X13" si="2">IF(AA6=15,J6,0)</f>
        <v>0</v>
      </c>
      <c r="Y6" s="9">
        <f t="shared" ref="Y6:Y13" si="3">IF(AA6=21,J6,0)</f>
        <v>0</v>
      </c>
      <c r="AA6" s="14">
        <v>15</v>
      </c>
      <c r="AB6" s="14">
        <f t="shared" ref="AB6:AB13" si="4">G6*0</f>
        <v>0</v>
      </c>
      <c r="AC6" s="14">
        <f t="shared" ref="AC6:AC13" si="5">G6*(1-0)</f>
        <v>0</v>
      </c>
      <c r="AJ6" s="14">
        <f t="shared" ref="AJ6:AJ13" si="6">F6*AB6</f>
        <v>0</v>
      </c>
      <c r="AK6" s="14">
        <f t="shared" ref="AK6:AK13" si="7">F6*AC6</f>
        <v>0</v>
      </c>
      <c r="AL6" s="15" t="s">
        <v>75</v>
      </c>
      <c r="AM6" s="15" t="s">
        <v>76</v>
      </c>
      <c r="AN6" s="39" t="s">
        <v>77</v>
      </c>
    </row>
    <row r="7" spans="1:40" x14ac:dyDescent="0.2">
      <c r="A7" s="215" t="s">
        <v>78</v>
      </c>
      <c r="B7" s="3"/>
      <c r="C7" s="3"/>
      <c r="D7" s="3" t="s">
        <v>369</v>
      </c>
      <c r="E7" s="3" t="s">
        <v>74</v>
      </c>
      <c r="F7" s="9">
        <v>44</v>
      </c>
      <c r="G7" s="9"/>
      <c r="H7" s="9"/>
      <c r="I7" s="9"/>
      <c r="J7" s="216">
        <f>ROUND(F7*G7,2)</f>
        <v>0</v>
      </c>
      <c r="K7" s="11" t="s">
        <v>73</v>
      </c>
      <c r="L7" s="9">
        <f t="shared" si="0"/>
        <v>0</v>
      </c>
      <c r="W7" s="9">
        <f t="shared" si="1"/>
        <v>0</v>
      </c>
      <c r="X7" s="9">
        <f t="shared" si="2"/>
        <v>0</v>
      </c>
      <c r="Y7" s="9">
        <f t="shared" si="3"/>
        <v>0</v>
      </c>
      <c r="AA7" s="14">
        <v>15</v>
      </c>
      <c r="AB7" s="14">
        <f t="shared" si="4"/>
        <v>0</v>
      </c>
      <c r="AC7" s="14">
        <f t="shared" si="5"/>
        <v>0</v>
      </c>
      <c r="AJ7" s="14">
        <f t="shared" si="6"/>
        <v>0</v>
      </c>
      <c r="AK7" s="14">
        <f t="shared" si="7"/>
        <v>0</v>
      </c>
      <c r="AL7" s="15" t="s">
        <v>75</v>
      </c>
      <c r="AM7" s="15" t="s">
        <v>76</v>
      </c>
      <c r="AN7" s="39" t="s">
        <v>77</v>
      </c>
    </row>
    <row r="8" spans="1:40" x14ac:dyDescent="0.2">
      <c r="A8" s="215" t="s">
        <v>85</v>
      </c>
      <c r="B8" s="3"/>
      <c r="C8" s="3"/>
      <c r="D8" s="3" t="s">
        <v>370</v>
      </c>
      <c r="E8" s="3" t="s">
        <v>74</v>
      </c>
      <c r="F8" s="9">
        <v>56</v>
      </c>
      <c r="G8" s="9"/>
      <c r="H8" s="9"/>
      <c r="I8" s="9"/>
      <c r="J8" s="216">
        <f t="shared" ref="J8:J13" si="8">ROUND(F8*G8,2)</f>
        <v>0</v>
      </c>
      <c r="K8" s="11" t="s">
        <v>73</v>
      </c>
      <c r="L8" s="9">
        <f t="shared" si="0"/>
        <v>0</v>
      </c>
      <c r="W8" s="9">
        <f t="shared" si="1"/>
        <v>0</v>
      </c>
      <c r="X8" s="9">
        <f t="shared" si="2"/>
        <v>0</v>
      </c>
      <c r="Y8" s="9">
        <f t="shared" si="3"/>
        <v>0</v>
      </c>
      <c r="AA8" s="14">
        <v>15</v>
      </c>
      <c r="AB8" s="14">
        <f t="shared" si="4"/>
        <v>0</v>
      </c>
      <c r="AC8" s="14">
        <f t="shared" si="5"/>
        <v>0</v>
      </c>
      <c r="AJ8" s="14">
        <f t="shared" si="6"/>
        <v>0</v>
      </c>
      <c r="AK8" s="14">
        <f t="shared" si="7"/>
        <v>0</v>
      </c>
      <c r="AL8" s="15" t="s">
        <v>75</v>
      </c>
      <c r="AM8" s="15" t="s">
        <v>76</v>
      </c>
      <c r="AN8" s="39" t="s">
        <v>77</v>
      </c>
    </row>
    <row r="9" spans="1:40" x14ac:dyDescent="0.2">
      <c r="A9" s="215" t="s">
        <v>82</v>
      </c>
      <c r="B9" s="3"/>
      <c r="C9" s="3"/>
      <c r="D9" s="3" t="s">
        <v>388</v>
      </c>
      <c r="E9" s="3" t="s">
        <v>74</v>
      </c>
      <c r="F9" s="9">
        <v>2890</v>
      </c>
      <c r="G9" s="9"/>
      <c r="H9" s="9"/>
      <c r="I9" s="9"/>
      <c r="J9" s="216">
        <f t="shared" si="8"/>
        <v>0</v>
      </c>
      <c r="K9" s="11" t="s">
        <v>85</v>
      </c>
      <c r="L9" s="9">
        <f t="shared" si="0"/>
        <v>0</v>
      </c>
      <c r="W9" s="9">
        <f t="shared" si="1"/>
        <v>0</v>
      </c>
      <c r="X9" s="9">
        <f t="shared" si="2"/>
        <v>0</v>
      </c>
      <c r="Y9" s="9">
        <f t="shared" si="3"/>
        <v>0</v>
      </c>
      <c r="AA9" s="14">
        <v>15</v>
      </c>
      <c r="AB9" s="14">
        <f t="shared" si="4"/>
        <v>0</v>
      </c>
      <c r="AC9" s="14">
        <f t="shared" si="5"/>
        <v>0</v>
      </c>
      <c r="AJ9" s="14">
        <f t="shared" si="6"/>
        <v>0</v>
      </c>
      <c r="AK9" s="14">
        <f t="shared" si="7"/>
        <v>0</v>
      </c>
      <c r="AL9" s="15" t="s">
        <v>75</v>
      </c>
      <c r="AM9" s="15" t="s">
        <v>76</v>
      </c>
      <c r="AN9" s="39" t="s">
        <v>77</v>
      </c>
    </row>
    <row r="10" spans="1:40" x14ac:dyDescent="0.2">
      <c r="A10" s="215" t="s">
        <v>87</v>
      </c>
      <c r="B10" s="3"/>
      <c r="C10" s="3"/>
      <c r="D10" s="3" t="s">
        <v>371</v>
      </c>
      <c r="E10" s="3" t="s">
        <v>81</v>
      </c>
      <c r="F10" s="9">
        <v>12</v>
      </c>
      <c r="G10" s="9"/>
      <c r="H10" s="9"/>
      <c r="I10" s="9"/>
      <c r="J10" s="216">
        <f t="shared" si="8"/>
        <v>0</v>
      </c>
      <c r="K10" s="11" t="s">
        <v>85</v>
      </c>
      <c r="L10" s="9">
        <f t="shared" si="0"/>
        <v>0</v>
      </c>
      <c r="W10" s="9">
        <f t="shared" si="1"/>
        <v>0</v>
      </c>
      <c r="X10" s="9">
        <f t="shared" si="2"/>
        <v>0</v>
      </c>
      <c r="Y10" s="9">
        <f t="shared" si="3"/>
        <v>0</v>
      </c>
      <c r="AA10" s="14">
        <v>15</v>
      </c>
      <c r="AB10" s="14">
        <f t="shared" si="4"/>
        <v>0</v>
      </c>
      <c r="AC10" s="14">
        <f t="shared" si="5"/>
        <v>0</v>
      </c>
      <c r="AJ10" s="14">
        <f t="shared" si="6"/>
        <v>0</v>
      </c>
      <c r="AK10" s="14">
        <f t="shared" si="7"/>
        <v>0</v>
      </c>
      <c r="AL10" s="15" t="s">
        <v>75</v>
      </c>
      <c r="AM10" s="15" t="s">
        <v>76</v>
      </c>
      <c r="AN10" s="39" t="s">
        <v>77</v>
      </c>
    </row>
    <row r="11" spans="1:40" x14ac:dyDescent="0.2">
      <c r="A11" s="215" t="s">
        <v>89</v>
      </c>
      <c r="B11" s="3"/>
      <c r="C11" s="3"/>
      <c r="D11" s="3" t="s">
        <v>372</v>
      </c>
      <c r="E11" s="3" t="s">
        <v>373</v>
      </c>
      <c r="F11" s="9">
        <v>800</v>
      </c>
      <c r="G11" s="9"/>
      <c r="H11" s="9"/>
      <c r="I11" s="9"/>
      <c r="J11" s="216">
        <f t="shared" si="8"/>
        <v>0</v>
      </c>
      <c r="K11" s="11" t="s">
        <v>85</v>
      </c>
      <c r="L11" s="9">
        <f t="shared" si="0"/>
        <v>0</v>
      </c>
      <c r="W11" s="9">
        <f t="shared" si="1"/>
        <v>0</v>
      </c>
      <c r="X11" s="9">
        <f t="shared" si="2"/>
        <v>0</v>
      </c>
      <c r="Y11" s="9">
        <f t="shared" si="3"/>
        <v>0</v>
      </c>
      <c r="AA11" s="14">
        <v>15</v>
      </c>
      <c r="AB11" s="14">
        <f t="shared" si="4"/>
        <v>0</v>
      </c>
      <c r="AC11" s="14">
        <f t="shared" si="5"/>
        <v>0</v>
      </c>
      <c r="AJ11" s="14">
        <f t="shared" si="6"/>
        <v>0</v>
      </c>
      <c r="AK11" s="14">
        <f t="shared" si="7"/>
        <v>0</v>
      </c>
      <c r="AL11" s="15" t="s">
        <v>75</v>
      </c>
      <c r="AM11" s="15" t="s">
        <v>76</v>
      </c>
      <c r="AN11" s="39" t="s">
        <v>77</v>
      </c>
    </row>
    <row r="12" spans="1:40" ht="15" x14ac:dyDescent="0.25">
      <c r="A12" s="215" t="s">
        <v>93</v>
      </c>
      <c r="B12" s="3"/>
      <c r="C12" s="3"/>
      <c r="D12" s="217" t="s">
        <v>374</v>
      </c>
      <c r="E12" s="4" t="s">
        <v>74</v>
      </c>
      <c r="F12" s="218">
        <v>7225</v>
      </c>
      <c r="G12" s="9"/>
      <c r="H12" s="9"/>
      <c r="I12" s="9"/>
      <c r="J12" s="216">
        <f t="shared" si="8"/>
        <v>0</v>
      </c>
      <c r="K12" s="11" t="s">
        <v>85</v>
      </c>
      <c r="L12" s="9">
        <f t="shared" si="0"/>
        <v>0</v>
      </c>
      <c r="W12" s="9">
        <f t="shared" si="1"/>
        <v>0</v>
      </c>
      <c r="X12" s="9">
        <f t="shared" si="2"/>
        <v>0</v>
      </c>
      <c r="Y12" s="9">
        <f t="shared" si="3"/>
        <v>0</v>
      </c>
      <c r="AA12" s="14">
        <v>15</v>
      </c>
      <c r="AB12" s="14">
        <f t="shared" si="4"/>
        <v>0</v>
      </c>
      <c r="AC12" s="14">
        <f t="shared" si="5"/>
        <v>0</v>
      </c>
      <c r="AJ12" s="14">
        <f t="shared" si="6"/>
        <v>0</v>
      </c>
      <c r="AK12" s="14">
        <f t="shared" si="7"/>
        <v>0</v>
      </c>
      <c r="AL12" s="15" t="s">
        <v>75</v>
      </c>
      <c r="AM12" s="15" t="s">
        <v>76</v>
      </c>
      <c r="AN12" s="39" t="s">
        <v>77</v>
      </c>
    </row>
    <row r="13" spans="1:40" ht="15.75" thickBot="1" x14ac:dyDescent="0.3">
      <c r="A13" s="219" t="s">
        <v>96</v>
      </c>
      <c r="B13" s="220"/>
      <c r="C13" s="220"/>
      <c r="D13" s="221" t="s">
        <v>375</v>
      </c>
      <c r="E13" s="222" t="s">
        <v>130</v>
      </c>
      <c r="F13" s="223">
        <v>120</v>
      </c>
      <c r="G13" s="224"/>
      <c r="H13" s="224"/>
      <c r="I13" s="224"/>
      <c r="J13" s="225">
        <f t="shared" si="8"/>
        <v>0</v>
      </c>
      <c r="K13" s="11" t="s">
        <v>85</v>
      </c>
      <c r="L13" s="9">
        <f t="shared" si="0"/>
        <v>0</v>
      </c>
      <c r="W13" s="9">
        <f t="shared" si="1"/>
        <v>0</v>
      </c>
      <c r="X13" s="9">
        <f t="shared" si="2"/>
        <v>0</v>
      </c>
      <c r="Y13" s="9">
        <f t="shared" si="3"/>
        <v>0</v>
      </c>
      <c r="AA13" s="14">
        <v>15</v>
      </c>
      <c r="AB13" s="14">
        <f t="shared" si="4"/>
        <v>0</v>
      </c>
      <c r="AC13" s="14">
        <f t="shared" si="5"/>
        <v>0</v>
      </c>
      <c r="AJ13" s="14">
        <f t="shared" si="6"/>
        <v>0</v>
      </c>
      <c r="AK13" s="14">
        <f t="shared" si="7"/>
        <v>0</v>
      </c>
      <c r="AL13" s="15" t="s">
        <v>75</v>
      </c>
      <c r="AM13" s="15" t="s">
        <v>76</v>
      </c>
      <c r="AN13" s="39" t="s">
        <v>77</v>
      </c>
    </row>
    <row r="14" spans="1:40" ht="13.5" thickBot="1" x14ac:dyDescent="0.25">
      <c r="A14" s="226"/>
      <c r="B14" s="227"/>
      <c r="C14" s="227"/>
      <c r="D14" s="228" t="s">
        <v>376</v>
      </c>
      <c r="E14" s="227"/>
      <c r="F14" s="227"/>
      <c r="G14" s="227"/>
      <c r="H14" s="229"/>
      <c r="I14" s="229"/>
      <c r="J14" s="230">
        <f>J5</f>
        <v>0</v>
      </c>
      <c r="V14" s="14"/>
      <c r="W14" s="14"/>
      <c r="X14" s="14"/>
    </row>
    <row r="15" spans="1:40" ht="11.25" customHeight="1" x14ac:dyDescent="0.2">
      <c r="A15" s="6"/>
      <c r="D15" s="68"/>
      <c r="J15" s="89"/>
    </row>
    <row r="16" spans="1:40" ht="409.6" hidden="1" customHeight="1" x14ac:dyDescent="0.2">
      <c r="A16" s="56"/>
      <c r="B16" s="33"/>
      <c r="C16" s="33"/>
      <c r="D16" s="33"/>
      <c r="E16" s="33"/>
      <c r="F16" s="33"/>
      <c r="G16" s="33"/>
      <c r="H16" s="33"/>
      <c r="I16" s="33"/>
      <c r="J16" s="90"/>
    </row>
    <row r="17" spans="1:10" ht="13.5" thickBot="1" x14ac:dyDescent="0.25">
      <c r="D17" s="91" t="s">
        <v>377</v>
      </c>
      <c r="E17" s="36"/>
      <c r="F17" s="36"/>
      <c r="G17" s="36"/>
      <c r="H17" s="36"/>
      <c r="I17" s="36"/>
      <c r="J17" s="92">
        <f>J14*3</f>
        <v>0</v>
      </c>
    </row>
    <row r="18" spans="1:10" ht="26.25" thickBot="1" x14ac:dyDescent="0.25">
      <c r="A18" s="231">
        <v>9</v>
      </c>
      <c r="B18" s="232"/>
      <c r="C18" s="232"/>
      <c r="D18" s="233" t="s">
        <v>378</v>
      </c>
      <c r="E18" s="232" t="s">
        <v>130</v>
      </c>
      <c r="F18" s="232">
        <v>48</v>
      </c>
      <c r="G18" s="234"/>
      <c r="H18" s="234"/>
      <c r="I18" s="234"/>
      <c r="J18" s="235">
        <f>ROUND(F18*G18,2)</f>
        <v>0</v>
      </c>
    </row>
    <row r="20" spans="1:10" ht="13.5" thickBot="1" x14ac:dyDescent="0.25"/>
    <row r="21" spans="1:10" s="36" customFormat="1" ht="13.5" thickBot="1" x14ac:dyDescent="0.25">
      <c r="A21" s="236"/>
      <c r="B21" s="237"/>
      <c r="C21" s="237"/>
      <c r="D21" s="237" t="s">
        <v>379</v>
      </c>
      <c r="E21" s="237"/>
      <c r="F21" s="237"/>
      <c r="G21" s="237"/>
      <c r="H21" s="238">
        <f>H18</f>
        <v>0</v>
      </c>
      <c r="I21" s="238">
        <f>I18+J17</f>
        <v>0</v>
      </c>
      <c r="J21" s="239">
        <f>I21+H21</f>
        <v>0</v>
      </c>
    </row>
    <row r="22" spans="1:10" x14ac:dyDescent="0.2">
      <c r="J22" s="88"/>
    </row>
    <row r="23" spans="1:10" x14ac:dyDescent="0.2">
      <c r="D23" t="s">
        <v>45</v>
      </c>
      <c r="J23" s="88">
        <f>J21*0.21</f>
        <v>0</v>
      </c>
    </row>
    <row r="24" spans="1:10" s="36" customFormat="1" x14ac:dyDescent="0.2">
      <c r="D24" s="36" t="s">
        <v>380</v>
      </c>
      <c r="J24" s="94">
        <f>J23+J21</f>
        <v>0</v>
      </c>
    </row>
    <row r="31" spans="1:10" x14ac:dyDescent="0.2">
      <c r="D31" s="30"/>
    </row>
    <row r="32" spans="1:10" x14ac:dyDescent="0.2">
      <c r="D32" s="30"/>
    </row>
    <row r="33" spans="4:4" x14ac:dyDescent="0.2">
      <c r="D33" s="30"/>
    </row>
  </sheetData>
  <mergeCells count="3">
    <mergeCell ref="A1:I1"/>
    <mergeCell ref="H2:J2"/>
    <mergeCell ref="D5:G5"/>
  </mergeCells>
  <pageMargins left="0.7" right="0.7" top="0.78740157499999996" bottom="0.78740157499999996" header="0.3" footer="0.3"/>
  <pageSetup paperSize="9" orientation="landscape" horizontalDpi="4294967294" verticalDpi="0" r:id="rId1"/>
</worksheet>
</file>

<file path=_xmlsignatures/_rels/origin.sigs.rels>&#65279;<?xml version="1.0" encoding="utf-8"?><Relationships xmlns="http://schemas.openxmlformats.org/package/2006/relationships"><Relationship Id="idRel1" Type="http://schemas.openxmlformats.org/package/2006/relationships/digital-signature/signature" Target="sig1.xml" TargetMode="Internal"/></Relationships>
</file>

<file path=_xmlsignatures/sig1.xml><?xml version="1.0" encoding="utf-8"?>
<ds:Signature xmlns:ds="http://www.w3.org/2000/09/xmldsig#" Id="idSignature1">
  <ds:SignedInfo>
    <ds:CanonicalizationMethod Algorithm="http://www.w3.org/TR/2001/REC-xml-c14n-20010315"/>
    <ds:SignatureMethod Algorithm="http://www.w3.org/2000/09/xmldsig#rsa-sha1"/>
    <ds:Reference Type="http://www.w3.org/2000/09/xmldsig#Object" URI="#idPackageObject">
      <ds:DigestMethod Algorithm="http://www.w3.org/2000/09/xmldsig#sha1"/>
      <ds:DigestValue>U5kKDG+g0lz6hR0lp8oyebR3kPg=</ds:DigestValue>
    </ds:Reference>
    <ds:Reference Type="http://www.w3.org/2000/09/xmldsig#Object" URI="#idOfficeObject">
      <ds:DigestMethod Algorithm="http://www.w3.org/2000/09/xmldsig#sha1"/>
      <ds:DigestValue>TeWq+6/RKUBEmLJS++g6NcWwDKI=</ds:DigestValue>
    </ds:Reference>
    <ds:Reference Type="http://uri.etsi.org/01903#SignedProperties" URI="#SignedProperties-1793115245">
      <ds:DigestMethod Algorithm="http://www.w3.org/2000/09/xmldsig#sha1"/>
      <ds:DigestValue>zZyaJ+Y6zm1uDl35Jeu7RUTOELA=</ds:DigestValue>
    </ds:Reference>
  </ds:SignedInfo>
  <ds:SignatureValue>TXztDTeV0ACH3JvQEyDFUJtViOWV5v6uB7YKf3jdmHvZ+7FFnTyRc0XU1g22McER8JNE4pcYibOpckaS4Xw5KvqHEfXPI4uj1r31TZ4mehKx7OhJGGdJvX+YraPdfFP0Zbf0w8eD3MHcDvVpVBg9Zgw3Nhr/PK7LUQSFcJmkgnXjP/XfvwCbjamv8UephBkmxiE6jU0TtV2X8EAA8r8i+LY0DlxSxxrva4BSgUqZ+DEIDH4bg6D5iNUI/sL2TGm2Lihz6vG7bvjt6GArOOPzix6XrPRpaKePofCH1CC/hLgPGlQW8pNZC6UL+9KFKgLda4wHUgn0cFRwX2ZCkIORvQ==</ds:SignatureValue>
  <ds:KeyInfo>
    <ds:KeyValue>
      <ds:RSAKeyValue>
        <ds:Modulus>1+NTh5o5KCz5b2AUFHVbmwgNhZhYaAoUUtCXXYPokvsujjA2d+eapLaVekE6kweMlejNxfPWRnByxWgt+nevtc66cBtRDgPio8mmA6KIQXOokTbSXNUOivliFVP1QPUkwkAUh1w6stB+YKujHg5qvJQJn0IW3+/+YZklvUNk37IckKkOeXHR0UuDMPnb2VIPaQWInfaqoxPrcRulJwtwScDlySQutUg+dLeQqFQTXn5B0gsqND9gs/WpBeoq1LSXhTIvJMkP2YUoRR6LVOoWhg3Wi/4ToXE2ds3x6/VfDy+I1HXDLCzSwCKP5QeOyCpjUS55NTsT8KSy6Ke4aOWYOQ==</ds:Modulus>
        <ds:Exponent>AQAB</ds:Exponent>
      </ds:RSAKeyValue>
    </ds:KeyValue>
    <ds:X509Data>
      <ds:X509Certificate>MIIGozCCBYugAwIBAgIDHlChMA0GCSqGSIb3DQEBCwUAMF8xCzAJBgNVBAYTAkNaMSwwKgYDVQQKDCPEjGVza8OhIHBvxaF0YSwgcy5wLiBbScSMIDQ3MTE0OTgzXTEiMCAGA1UEAxMZUG9zdFNpZ251bSBRdWFsaWZpZWQgQ0EgMjAeFw0xNjA1MTcxMzE4MTBaFw0xNzA1MTcxMzE4MTBaMHwxCzAJBgNVBAYTAkNaMS4wLAYDVQQKDCVJbmcuIEppdGthIFbDoWduZXJvdsOhIFtJxIwgNzU2OTE2OThdMQowCAYDVQQLEwExMR8wHQYDVQQDDBZJbmcuIEppdGthIFbDoWduZXJvdsOhMRAwDgYDVQQFEwdQNTQ5NTI4MIIBIjANBgkqhkiG9w0BAQEFAAOCAQ8AMIIBCgKCAQEA1+NTh5o5KCz5b2AUFHVbmwgNhZhYaAoUUtCXXYPokvsujjA2d+eapLaVekE6kweMlejNxfPWRnByxWgt+nevtc66cBtRDgPio8mmA6KIQXOokTbSXNUOivliFVP1QPUkwkAUh1w6stB+YKujHg5qvJQJn0IW3+/+YZklvUNk37IckKkOeXHR0UuDMPnb2VIPaQWInfaqoxPrcRulJwtwScDlySQutUg+dLeQqFQTXn5B0gsqND9gs/WpBeoq1LSXhTIvJMkP2YUoRR6LVOoWhg3Wi/4ToXE2ds3x6/VfDy+I1HXDLCzSwCKP5QeOyCpjUS55NTsT8KSy6Ke4aOWYOQIDAQABo4IDSTCCA0UwSAYDVR0RBEEwP4EXdmFnbmVyb3ZhLmppdEBzZXpuYW0uY3qgGQYJKwYBBAHcGQIBoAwTCjE5ODkyMDI3ODegCQYDVQQNoAITADCCAQ4GA1UdIASCAQUwggEBMIH+BglngQYBBAEHgiwwgfAwgccGCCsGAQUFBwICMIG6GoG3VGVudG8ga3ZhbGlmaWtvdmFueSBjZXJ0aWZpa2F0IGJ5bCB2eWRhbiBwb2RsZSB6YWtvbmEgMjI3LzIwMDBTYi4gYSBuYXZhem55Y2ggcHJlZHBpc3UuL1RoaXMgcXVhbGlmaWVkIGNlcnRpZmljYXRlIHdhcyBpc3N1ZWQgYWNjb3JkaW5nIHRvIExhdyBObyAyMjcvMjAwMENvbGwuIGFuZCByZWxhdGVkIHJlZ3VsYXRpb25zMCQGCCsGAQUFBwIBFhhodHRwOi8vd3d3LnBvc3RzaWdudW0uY3owGAYIKwYBBQUHAQMEDDAKMAgGBgQAjkYBATCByAYIKwYBBQUHAQEEgbswgbgwOwYIKwYBBQUHMAKGL2h0dHA6Ly93d3cucG9zdHNpZ251bS5jei9jcnQvcHNxdWFsaWZpZWRjYTIuY3J0MDwGCCsGAQUFBzAChjBodHRwOi8vd3d3Mi5wb3N0c2lnbnVtLmN6L2NydC9wc3F1YWxpZmllZGNhMi5jcnQwOwYIKwYBBQUHMAKGL2h0dHA6Ly9wb3N0c2lnbnVtLnR0Yy5jei9jcnQvcHNxdWFsaWZpZWRjYTIuY3J0MA4GA1UdDwEB/wQEAwIF4DAfBgNVHSMEGDAWgBSJ6EzfiyY5PtckLhIOeufmJ+XWlzCBsQYDVR0fBIGpMIGmMDWgM6Axhi9odHRwOi8vd3d3LnBvc3RzaWdudW0uY3ovY3JsL3BzcXVhbGlmaWVkY2EyLmNybDA2oDSgMoYwaHR0cDovL3d3dzIucG9zdHNpZ251bS5jei9jcmwvcHNxdWFsaWZpZWRjYTIuY3JsMDWgM6Axhi9odHRwOi8vcG9zdHNpZ251bS50dGMuY3ovY3JsL3BzcXVhbGlmaWVkY2EyLmNybDAdBgNVHQ4EFgQUmcsa8hy0DQa6FX3RdhJUeKvGQN8wDQYJKoZIhvcNAQELBQADggEBAEl5jzIdMpfDISVzlOhycWodkiiiMxLyNgjSQbIIyBXG0bMGIY+ttRE/ku4oxN25e1a5D69eBPOu+EiXwcd1kzpdmiSuPqzr6EX93n12I/J+fhBaKtCceEAlU26kfZhs+ZlcyJ2nVCcwZ5HhuVFW4yVdz5ChUk0Y9fCY/kGzjwZIB4NmdGxBkfnLXLuua3h5BAhJnnNosW+ZbVRDewsA6TE7UJE208wq8m9gwejdmhni9MgiDmw9xG7VMNE3FIwyEi1UBp3eUnd2mweb7sn7VISy2rgK0epOkShe1bC7X6xWNCLLzl3EZJFqXOaST9pKO5B0ggZAsyBPnAD6ztJvwZk=</ds:X509Certificate>
      <ds:X509Certificate>MIIGXzCCBUegAwIBAgIBcTANBgkqhkiG9w0BAQsFADBbMQswCQYDVQQGEwJDWjEsMCoGA1UECgwjxIxlc2vDoSBwb8WhdGEsIHMucC4gW0nEjCA0NzExNDk4M10xHjAcBgNVBAMTFVBvc3RTaWdudW0gUm9vdCBRQ0EgMjAeFw0xMDAxMTkxMTMxMjBaFw0yMDAxMTkxMTMwMjBaMF8xCzAJBgNVBAYTAkNaMSwwKgYDVQQKDCPEjGVza8OhIHBvxaF0YSwgcy5wLiBbScSMIDQ3MTE0OTgzXTEiMCAGA1UEAxMZUG9zdFNpZ251bSBRdWFsaWZpZWQgQ0EgMjCCASIwDQYJKoZIhvcNAQEBBQADggEPADCCAQoCggEBAKbRReVFlmMooQD/ZzJA9M793LcZivHRvWEG8jsEpp2xTayR17ovs8OMeoYKjvGo6PDfkCJs+sBYS0q5WQFApdWkyl/tUOw1oZ2SPSq6uYLJUyOYSKPMOgKz4u3XuB4Ki1Z+i8Fb7zeRye6eqahK+tql3ZAJnrJKgC4X2Ta1RKkxK+Hu1bdhWJA3gwL+WkIZbL/PYIzjet++T8ssWK1PWdBXsSfKOTikNzZt2VPETAQDBpOYxqAgLfCRbcb9KU2WIMT3NNxILu3sNl+OM9gV/GWO943JHsOMAVyJSQREaZksG5KDzzNzQS/LsbYkFtnJAmmh7g9p9Ci6cEJ+pfBTtMECAwEAAaOCAygwggMkMIHxBgNVHSAEgekwgeYwgeMGBFUdIAAwgdowgdcGCCsGAQUFBwICMIHKGoHHVGVudG8ga3ZhbGlmaWtvdmFueSBzeXN0ZW1vdnkgY2VydGlmaWthdCBieWwgdnlkYW4gcG9kbGUgemFrb25hIDIyNy8yMDAwU2IuIGEgbmF2YXpueWNoIHByZWRwaXN1L1RoaXMgcXVhbGlmaWVkIHN5c3RlbSBjZXJ0aWZpY2F0ZSB3YXMgaXNzdWVkIGFjY29yZGluZyB0byBMYXcgTm8gMjI3LzIwMDBDb2xsLiBhbmQgcmVsYXRlZCByZWd1bGF0aW9uczASBgNVHRMBAf8ECDAGAQH/AgEAMIG8BggrBgEFBQcBAQSBrzCBrDA3BggrBgEFBQcwAoYraHR0cDovL3d3dy5wb3N0c2lnbnVtLmN6L2NydC9wc3Jvb3RxY2EyLmNydDA4BggrBgEFBQcwAoYsaHR0cDovL3d3dzIucG9zdHNpZ251bS5jei9jcnQvcHNyb290cWNhMi5jcnQwNwYIKwYBBQUHMAKGK2h0dHA6Ly9wb3N0c2lnbnVtLnR0Yy5jei9jcnQvcHNyb290cWNhMi5jcnQwDgYDVR0PAQH/BAQDAgEGMIGDBgNVHSMEfDB6gBQVKYzFRWmruLPD6v5LuDHY3PDndqFfpF0wWzELMAkGA1UEBhMCQ1oxLDAqBgNVBAoMI8SMZXNrw6EgcG/FoXRhLCBzLnAuIFtJxIwgNDcxMTQ5ODNdMR4wHAYDVQQDExVQb3N0U2lnbnVtIFJvb3QgUUNBIDKCAWQwgaUGA1UdHwSBnTCBmjAxoC+gLYYraHR0cDovL3d3dy5wb3N0c2lnbnVtLmN6L2NybC9wc3Jvb3RxY2EyLmNybDAyoDCgLoYsaHR0cDovL3d3dzIucG9zdHNpZ251bS5jei9jcmwvcHNyb290cWNhMi5jcmwwMaAvoC2GK2h0dHA6Ly9wb3N0c2lnbnVtLnR0Yy5jei9jcmwvcHNyb290cWNhMi5jcmwwHQYDVR0OBBYEFInoTN+LJjk+1yQuEg565+Yn5daXMA0GCSqGSIb3DQEBCwUAA4IBAQB17M2VB48AXCVfVeeOLo0LIJZcg5EyHUKurbnff6tQOmyT7gzpkJNY3I3ijW2ErBfUM/6HefMxYKKWSs4jXqGSK5QfxG0B0O3uGfHPS4WFftaPSAnWk1tiJZ4c43+zSJCcH33n9pDmvt8n0j+6cQAZIWh4PPpmkvUg3uN4E0bzZHnH2uKzMvpVnE6wKml6oV+PUfPASPIYQw9gFEANcMzp10hXJHrnOo0alPklymZdTVssBXwdzhSBsFel1eVBSvVOx6+y8zdbrkRLOvTVnSMb6zH+fsygU40mimdo30rY/6N+tdQhbM/sTCxgdWAy2g0elAN1zi9Jx6aQ76woDcn+</ds:X509Certificate>
      <ds:X509Certificate>MIIFnDCCBISgAwIBAgIBZDANBgkqhkiG9w0BAQsFADBbMQswCQYDVQQGEwJDWjEsMCoGA1UECgwjxIxlc2vDoSBwb8WhdGEsIHMucC4gW0nEjCA0NzExNDk4M10xHjAcBgNVBAMTFVBvc3RTaWdudW0gUm9vdCBRQ0EgMjAeFw0xMDAxMTkwODA0MzFaFw0yNTAxMTkwODA0MzFaMFsxCzAJBgNVBAYTAkNaMSwwKgYDVQQKDCPEjGVza8OhIHBvxaF0YSwgcy5wLiBbScSMIDQ3MTE0OTgzXTEeMBwGA1UEAxMVUG9zdFNpZ251bSBSb290IFFDQSAyMIIBIjANBgkqhkiG9w0BAQEFAAOCAQ8AMIIBCgKCAQEAoFz8yBxf2gf1uN0GGXknvGHwurpp4Lw3ZPWZB6nEBDGjSGIXK0Or6Xa3ZT+tVDTeUUjT133G7Vs51D6z/ShWy+9T7a1f6XInakewyFj8PT0EdZ4tAybNYdEUO/dShg2WvUyfZfXH0jmmZm6qUDy0VfKQfiyWchQRi/Ax6zXaU2+X3hXBfvRMr5l6zgxYVATEyxCfOLM9a5U6lhpyCDf2Gg6dPc5Cy6QwYGGpYER1fzLGsN9stdutkwlP13DHU1Sp6W5ywtfLowYaV1bqOOdARbAoJ7q8LO6EBjyIVr03mFusPaMCOzcEn3zL5XafknM36VqtdmqziWR+3URAUgqE0wIDAQABo4ICaTCCAmUwgaUGA1UdHwSBnTCBmjAxoC+gLYYraHR0cDovL3d3dy5wb3N0c2lnbnVtLmN6L2NybC9wc3Jvb3RxY2EyLmNybDAyoDCgLoYsaHR0cDovL3d3dzIucG9zdHNpZ251bS5jei9jcmwvcHNyb290cWNhMi5jcmwwMaAvoC2GK2h0dHA6Ly9wb3N0c2lnbnVtLnR0Yy5jei9jcmwvcHNyb290cWNhMi5jcmwwgfEGA1UdIASB6TCB5jCB4wYEVR0gADCB2jCB1wYIKwYBBQUHAgIwgcoagcdUZW50byBrdmFsaWZpa292YW55IHN5c3RlbW92eSBjZXJ0aWZpa2F0IGJ5bCB2eWRhbiBwb2RsZSB6YWtvbmEgMjI3LzIwMDBTYi4gYSBuYXZhem55Y2ggcHJlZHBpc3UvVGhpcyBxdWFsaWZpZWQgc3lzdGVtIGNlcnRpZmljYXRlIHdhcyBpc3N1ZWQgYWNjb3JkaW5nIHRvIExhdyBObyAyMjcvMjAwMENvbGwuIGFuZCByZWxhdGVkIHJlZ3VsYXRpb25zMBIGA1UdEwEB/wQIMAYBAf8CAQEwDgYDVR0PAQH/BAQDAgEGMB0GA1UdDgQWBBQVKYzFRWmruLPD6v5LuDHY3PDndjCBgwYDVR0jBHwweoAUFSmMxUVpq7izw+r+S7gx2Nzw53ahX6RdMFsxCzAJBgNVBAYTAkNaMSwwKgYDVQQKDCPEjGVza8OhIHBvxaF0YSwgcy5wLiBbScSMIDQ3MTE0OTgzXTEeMBwGA1UEAxMVUG9zdFNpZ251bSBSb290IFFDQSAyggFkMA0GCSqGSIb3DQEBCwUAA4IBAQBeKtoLQKFqWJEgLNxPbQNN5OTjbpOTEEkq2jFI0tUhtRx//6zwuqJCzfO/KqggUrHBca+GV/qXcNzNAlytyM71fMv/VwgL9gBHTN/IFIw100JbciI23yFQTdF/UoEfK/m+IFfirxSRi8LRERdXHTEbvwxMXIzZVXloWvX64UwWtf4Tvw5bAoPj0O1Z2ly4aMTAT2a+y+z184UhuZ/oGyMweIakmFM7M7RrNki507jiSLTzuaFMCpyWOX7ULIhzY6xKdm5iQLjTvExn2JTvVChFY+jUu/G0zAdLyeU4vaXdQm1A8AEiJPTd0Z9LAxL6Sq2iraLNN36+NyEK/ts3mPLL</ds:X509Certificate>
    </ds:X509Data>
  </ds:KeyInfo>
  <ds:Object>
    <QualifyingProperties xmlns="http://uri.etsi.org/01903/v1.3.2#" Target="#idSignature1">
      <SignedProperties Id="SignedProperties-1793115245">
        <SignedSignatureProperties>
          <SigningTime>2016-05-17T16:53:21.376Z</SigningTime>
          <SigningCertificate>
            <Cert>
              <CertDigest>
                <ds:DigestMethod Algorithm="http://www.w3.org/2000/09/xmldsig#sha1"/>
                <ds:DigestValue>mJfZiGV7jBVZQdj0FTSiF+DHABo=</ds:DigestValue>
              </CertDigest>
              <IssuerSerial>
                <ds:X509IssuerName>CN=PostSignum Qualified CA 2, O=Česká pošta\, s.p. [IČ 47114983], C=CZ</ds:X509IssuerName>
                <ds:X509SerialNumber>1986721</ds:X509SerialNumber>
              </IssuerSerial>
            </Cert>
            <Cert>
              <CertDigest>
                <ds:DigestMethod Algorithm="http://www.w3.org/2000/09/xmldsig#sha1"/>
                <ds:DigestValue>EATgin4N36b9HCzynEkMSFOQvz0=</ds:DigestValue>
              </CertDigest>
              <IssuerSerial>
                <ds:X509IssuerName>CN=PostSignum Root QCA 2, O=Česká pošta\, s.p. [IČ 47114983], C=CZ</ds:X509IssuerName>
                <ds:X509SerialNumber>113</ds:X509SerialNumber>
              </IssuerSerial>
            </Cert>
            <Cert>
              <CertDigest>
                <ds:DigestMethod Algorithm="http://www.w3.org/2000/09/xmldsig#sha1"/>
                <ds:DigestValue>oPjbPwv0F2k7KC63SmrYbfnUSKM=</ds:DigestValue>
              </CertDigest>
              <IssuerSerial>
                <ds:X509IssuerName>CN=PostSignum Root QCA 2, O=Česká pošta\, s.p. [IČ 47114983], C=CZ</ds:X509IssuerName>
                <ds:X509SerialNumber>100</ds:X509SerialNumber>
              </IssuerSerial>
            </Cert>
          </SigningCertificate>
        </SignedSignatureProperties>
      </SignedProperties>
    </QualifyingProperties>
  </ds:Object>
  <ds:Object Id="idPackageObject">
    <ds:Manifest>
      <ds:Reference URI="/_rels/.rels?ContentType=application/vnd.openxmlformats-package.relationships+xml">
        <ds:Transforms>
          <ds:Transform Algorithm="http://schemas.openxmlformats.org/package/2006/RelationshipTransform">
            <RelationshipReference xmlns="http://schemas.openxmlformats.org/package/2006/digital-signature" SourceId="rId1"/>
          </ds:Transform>
          <ds:Transform Algorithm="http://www.w3.org/TR/2001/REC-xml-c14n-20010315"/>
        </ds:Transforms>
        <ds:DigestMethod Algorithm="http://www.w3.org/2000/09/xmldsig#sha1"/>
        <ds:DigestValue>+nAd0bim5u961Z6hkrztwiSj8HA=</ds:DigestValue>
      </ds:Reference>
      <ds:Reference URI="/xl/_rels/workbook.xml.rels?ContentType=application/vnd.openxmlformats-package.relationships+xml">
        <ds:Transforms>
          <ds:Transform Algorithm="http://schemas.openxmlformats.org/package/2006/RelationshipTransform">
            <RelationshipReference xmlns="http://schemas.openxmlformats.org/package/2006/digital-signature" SourceId="rId8"/>
            <RelationshipReference xmlns="http://schemas.openxmlformats.org/package/2006/digital-signature" SourceId="rId3"/>
            <RelationshipReference xmlns="http://schemas.openxmlformats.org/package/2006/digital-signature" SourceId="rId7"/>
            <RelationshipReference xmlns="http://schemas.openxmlformats.org/package/2006/digital-signature" SourceId="rId2"/>
            <RelationshipReference xmlns="http://schemas.openxmlformats.org/package/2006/digital-signature" SourceId="rId1"/>
            <RelationshipReference xmlns="http://schemas.openxmlformats.org/package/2006/digital-signature" SourceId="rId6"/>
            <RelationshipReference xmlns="http://schemas.openxmlformats.org/package/2006/digital-signature" SourceId="rId11"/>
            <RelationshipReference xmlns="http://schemas.openxmlformats.org/package/2006/digital-signature" SourceId="rId5"/>
            <RelationshipReference xmlns="http://schemas.openxmlformats.org/package/2006/digital-signature" SourceId="rId10"/>
            <RelationshipReference xmlns="http://schemas.openxmlformats.org/package/2006/digital-signature" SourceId="rId4"/>
            <RelationshipReference xmlns="http://schemas.openxmlformats.org/package/2006/digital-signature" SourceId="rId9"/>
          </ds:Transform>
          <ds:Transform Algorithm="http://www.w3.org/TR/2001/REC-xml-c14n-20010315"/>
        </ds:Transforms>
        <ds:DigestMethod Algorithm="http://www.w3.org/2000/09/xmldsig#sha1"/>
        <ds:DigestValue>NTohLHQL2ccVV+HdMAiJ6RLRzuI=</ds:DigestValue>
      </ds:Reference>
      <ds:Reference URI="/xl/workbook.xml?ContentType=application/vnd.openxmlformats-officedocument.spreadsheetml.sheet.main+xml">
        <ds:DigestMethod Algorithm="http://www.w3.org/2000/09/xmldsig#sha1"/>
        <ds:DigestValue>332/4PJw4alOzoPGkCShvD/jxsg=</ds:DigestValue>
      </ds:Reference>
      <ds:Reference URI="/xl/theme/theme1.xml?ContentType=application/vnd.openxmlformats-officedocument.theme+xml">
        <ds:DigestMethod Algorithm="http://www.w3.org/2000/09/xmldsig#sha1"/>
        <ds:DigestValue>yLGMtmLAIsSLngXir/GgWaroJBo=</ds:DigestValue>
      </ds:Reference>
      <ds:Reference URI="/xl/worksheets/_rels/sheet3.xml.rels?ContentType=application/vnd.openxmlformats-package.relationships+xml">
        <ds:Transforms>
          <ds:Transform Algorithm="http://schemas.openxmlformats.org/package/2006/RelationshipTransform">
            <RelationshipReference xmlns="http://schemas.openxmlformats.org/package/2006/digital-signature" SourceId="rId1"/>
          </ds:Transform>
          <ds:Transform Algorithm="http://www.w3.org/TR/2001/REC-xml-c14n-20010315"/>
        </ds:Transforms>
        <ds:DigestMethod Algorithm="http://www.w3.org/2000/09/xmldsig#sha1"/>
        <ds:DigestValue>ew+sNkCbSxwNPstBsGRjC+14Sxg=</ds:DigestValue>
      </ds:Reference>
      <ds:Reference URI="/xl/worksheets/sheet3.xml?ContentType=application/vnd.openxmlformats-officedocument.spreadsheetml.worksheet+xml">
        <ds:DigestMethod Algorithm="http://www.w3.org/2000/09/xmldsig#sha1"/>
        <ds:DigestValue>/DFH4vkckYKqs1Yk+zDik5fhFgA=</ds:DigestValue>
      </ds:Reference>
      <ds:Reference URI="/xl/worksheets/_rels/sheet7.xml.rels?ContentType=application/vnd.openxmlformats-package.relationships+xml">
        <ds:Transforms>
          <ds:Transform Algorithm="http://schemas.openxmlformats.org/package/2006/RelationshipTransform">
            <RelationshipReference xmlns="http://schemas.openxmlformats.org/package/2006/digital-signature" SourceId="rId1"/>
          </ds:Transform>
          <ds:Transform Algorithm="http://www.w3.org/TR/2001/REC-xml-c14n-20010315"/>
        </ds:Transforms>
        <ds:DigestMethod Algorithm="http://www.w3.org/2000/09/xmldsig#sha1"/>
        <ds:DigestValue>yMhQTw9PBMCmGwuuB9JTPShwImc=</ds:DigestValue>
      </ds:Reference>
      <ds:Reference URI="/xl/worksheets/sheet7.xml?ContentType=application/vnd.openxmlformats-officedocument.spreadsheetml.worksheet+xml">
        <ds:DigestMethod Algorithm="http://www.w3.org/2000/09/xmldsig#sha1"/>
        <ds:DigestValue>oSWNjpEB6+d+CzFcJPDkjJMCITo=</ds:DigestValue>
      </ds:Reference>
      <ds:Reference URI="/xl/worksheets/_rels/sheet2.xml.rels?ContentType=application/vnd.openxmlformats-package.relationships+xml">
        <ds:Transforms>
          <ds:Transform Algorithm="http://schemas.openxmlformats.org/package/2006/RelationshipTransform">
            <RelationshipReference xmlns="http://schemas.openxmlformats.org/package/2006/digital-signature" SourceId="rId1"/>
          </ds:Transform>
          <ds:Transform Algorithm="http://www.w3.org/TR/2001/REC-xml-c14n-20010315"/>
        </ds:Transforms>
        <ds:DigestMethod Algorithm="http://www.w3.org/2000/09/xmldsig#sha1"/>
        <ds:DigestValue>DPl54m8ZkWDWmPPYreVK672bwio=</ds:DigestValue>
      </ds:Reference>
      <ds:Reference URI="/xl/worksheets/sheet2.xml?ContentType=application/vnd.openxmlformats-officedocument.spreadsheetml.worksheet+xml">
        <ds:DigestMethod Algorithm="http://www.w3.org/2000/09/xmldsig#sha1"/>
        <ds:DigestValue>kBuozlkttQX8ThDufRwsd6ZA5Ig=</ds:DigestValue>
      </ds:Reference>
      <ds:Reference URI="/xl/worksheets/_rels/sheet1.xml.rels?ContentType=application/vnd.openxmlformats-package.relationships+xml">
        <ds:Transforms>
          <ds:Transform Algorithm="http://schemas.openxmlformats.org/package/2006/RelationshipTransform">
            <RelationshipReference xmlns="http://schemas.openxmlformats.org/package/2006/digital-signature" SourceId="rId1"/>
          </ds:Transform>
          <ds:Transform Algorithm="http://www.w3.org/TR/2001/REC-xml-c14n-20010315"/>
        </ds:Transforms>
        <ds:DigestMethod Algorithm="http://www.w3.org/2000/09/xmldsig#sha1"/>
        <ds:DigestValue>x3OS0O1Zv90RqYPQ04JCQKrQR8U=</ds:DigestValue>
      </ds:Reference>
      <ds:Reference URI="/xl/worksheets/sheet1.xml?ContentType=application/vnd.openxmlformats-officedocument.spreadsheetml.worksheet+xml">
        <ds:DigestMethod Algorithm="http://www.w3.org/2000/09/xmldsig#sha1"/>
        <ds:DigestValue>CkLjbMCswvl9p0JCBUVOQbdXOwY=</ds:DigestValue>
      </ds:Reference>
      <ds:Reference URI="/xl/worksheets/_rels/sheet6.xml.rels?ContentType=application/vnd.openxmlformats-package.relationships+xml">
        <ds:Transforms>
          <ds:Transform Algorithm="http://schemas.openxmlformats.org/package/2006/RelationshipTransform">
            <RelationshipReference xmlns="http://schemas.openxmlformats.org/package/2006/digital-signature" SourceId="rId1"/>
          </ds:Transform>
          <ds:Transform Algorithm="http://www.w3.org/TR/2001/REC-xml-c14n-20010315"/>
        </ds:Transforms>
        <ds:DigestMethod Algorithm="http://www.w3.org/2000/09/xmldsig#sha1"/>
        <ds:DigestValue>pRTIgt3ZCwCHdZOTjQ1jGIvjSb8=</ds:DigestValue>
      </ds:Reference>
      <ds:Reference URI="/xl/worksheets/sheet6.xml?ContentType=application/vnd.openxmlformats-officedocument.spreadsheetml.worksheet+xml">
        <ds:DigestMethod Algorithm="http://www.w3.org/2000/09/xmldsig#sha1"/>
        <ds:DigestValue>YUtaDUK7Y5wUYNAe6iMgvqbrqwA=</ds:DigestValue>
      </ds:Reference>
      <ds:Reference URI="/xl/calcChain.xml?ContentType=application/vnd.openxmlformats-officedocument.spreadsheetml.calcChain+xml">
        <ds:DigestMethod Algorithm="http://www.w3.org/2000/09/xmldsig#sha1"/>
        <ds:DigestValue>9s/Mz0j56HdB6BA69xjKHmIaMuw=</ds:DigestValue>
      </ds:Reference>
      <ds:Reference URI="/xl/worksheets/_rels/sheet5.xml.rels?ContentType=application/vnd.openxmlformats-package.relationships+xml">
        <ds:Transforms>
          <ds:Transform Algorithm="http://schemas.openxmlformats.org/package/2006/RelationshipTransform">
            <RelationshipReference xmlns="http://schemas.openxmlformats.org/package/2006/digital-signature" SourceId="rId1"/>
          </ds:Transform>
          <ds:Transform Algorithm="http://www.w3.org/TR/2001/REC-xml-c14n-20010315"/>
        </ds:Transforms>
        <ds:DigestMethod Algorithm="http://www.w3.org/2000/09/xmldsig#sha1"/>
        <ds:DigestValue>gLMRZB7s88mg+sKljXP+o9GVNVU=</ds:DigestValue>
      </ds:Reference>
      <ds:Reference URI="/xl/worksheets/sheet5.xml?ContentType=application/vnd.openxmlformats-officedocument.spreadsheetml.worksheet+xml">
        <ds:DigestMethod Algorithm="http://www.w3.org/2000/09/xmldsig#sha1"/>
        <ds:DigestValue>NKABmv5gm2QAywlGpqNGkOlRfhs=</ds:DigestValue>
      </ds:Reference>
      <ds:Reference URI="/xl/sharedStrings.xml?ContentType=application/vnd.openxmlformats-officedocument.spreadsheetml.sharedStrings+xml">
        <ds:DigestMethod Algorithm="http://www.w3.org/2000/09/xmldsig#sha1"/>
        <ds:DigestValue>GQvVBQtIV+7motUow8cJyYq1U7o=</ds:DigestValue>
      </ds:Reference>
      <ds:Reference URI="/xl/worksheets/_rels/sheet4.xml.rels?ContentType=application/vnd.openxmlformats-package.relationships+xml">
        <ds:Transforms>
          <ds:Transform Algorithm="http://schemas.openxmlformats.org/package/2006/RelationshipTransform">
            <RelationshipReference xmlns="http://schemas.openxmlformats.org/package/2006/digital-signature" SourceId="rId1"/>
          </ds:Transform>
          <ds:Transform Algorithm="http://www.w3.org/TR/2001/REC-xml-c14n-20010315"/>
        </ds:Transforms>
        <ds:DigestMethod Algorithm="http://www.w3.org/2000/09/xmldsig#sha1"/>
        <ds:DigestValue>p3Vo1ELbv4NvleayWI6std39/r8=</ds:DigestValue>
      </ds:Reference>
      <ds:Reference URI="/xl/worksheets/sheet4.xml?ContentType=application/vnd.openxmlformats-officedocument.spreadsheetml.worksheet+xml">
        <ds:DigestMethod Algorithm="http://www.w3.org/2000/09/xmldsig#sha1"/>
        <ds:DigestValue>Utu2KoxXs8b7SRSC/BhQ+m2L5Jo=</ds:DigestValue>
      </ds:Reference>
      <ds:Reference URI="/xl/styles.xml?ContentType=application/vnd.openxmlformats-officedocument.spreadsheetml.styles+xml">
        <ds:DigestMethod Algorithm="http://www.w3.org/2000/09/xmldsig#sha1"/>
        <ds:DigestValue>k/gin5Afl9PByDUmrWNqVRiODn8=</ds:DigestValue>
      </ds:Reference>
      <ds:Reference URI="/xl/printerSettings/printerSettings3.bin?ContentType=application/vnd.openxmlformats-officedocument.spreadsheetml.printerSettings">
        <ds:DigestMethod Algorithm="http://www.w3.org/2000/09/xmldsig#sha1"/>
        <ds:DigestValue>mEz195iqazg8Y7YzoDGsFKUQUjQ=</ds:DigestValue>
      </ds:Reference>
      <ds:Reference URI="/xl/printerSettings/printerSettings7.bin?ContentType=application/vnd.openxmlformats-officedocument.spreadsheetml.printerSettings">
        <ds:DigestMethod Algorithm="http://www.w3.org/2000/09/xmldsig#sha1"/>
        <ds:DigestValue>cc/VhXW2emSWZO6/QyZ9s9lXWC8=</ds:DigestValue>
      </ds:Reference>
      <ds:Reference URI="/xl/printerSettings/printerSettings2.bin?ContentType=application/vnd.openxmlformats-officedocument.spreadsheetml.printerSettings">
        <ds:DigestMethod Algorithm="http://www.w3.org/2000/09/xmldsig#sha1"/>
        <ds:DigestValue>cc/VhXW2emSWZO6/QyZ9s9lXWC8=</ds:DigestValue>
      </ds:Reference>
      <ds:Reference URI="/xl/printerSettings/printerSettings1.bin?ContentType=application/vnd.openxmlformats-officedocument.spreadsheetml.printerSettings">
        <ds:DigestMethod Algorithm="http://www.w3.org/2000/09/xmldsig#sha1"/>
        <ds:DigestValue>cc/VhXW2emSWZO6/QyZ9s9lXWC8=</ds:DigestValue>
      </ds:Reference>
      <ds:Reference URI="/xl/printerSettings/printerSettings6.bin?ContentType=application/vnd.openxmlformats-officedocument.spreadsheetml.printerSettings">
        <ds:DigestMethod Algorithm="http://www.w3.org/2000/09/xmldsig#sha1"/>
        <ds:DigestValue>cc/VhXW2emSWZO6/QyZ9s9lXWC8=</ds:DigestValue>
      </ds:Reference>
      <ds:Reference URI="/xl/printerSettings/printerSettings5.bin?ContentType=application/vnd.openxmlformats-officedocument.spreadsheetml.printerSettings">
        <ds:DigestMethod Algorithm="http://www.w3.org/2000/09/xmldsig#sha1"/>
        <ds:DigestValue>cc/VhXW2emSWZO6/QyZ9s9lXWC8=</ds:DigestValue>
      </ds:Reference>
      <ds:Reference URI="/xl/printerSettings/printerSettings4.bin?ContentType=application/vnd.openxmlformats-officedocument.spreadsheetml.printerSettings">
        <ds:DigestMethod Algorithm="http://www.w3.org/2000/09/xmldsig#sha1"/>
        <ds:DigestValue>mHo+nkT0fk3lJB/Ogi41fx5gfFM=</ds:DigestValue>
      </ds:Reference>
    </ds:Manifest>
    <ds:SignatureProperties>
      <ds:SignatureProperty Id="idSignatureTime" Target="#idSignature1">
        <SignatureTime xmlns="http://schemas.openxmlformats.org/package/2006/digital-signature">
          <Format>YYYY-MM-DDThh:mm:ss.sTZD</Format>
          <Value>2016-05-17T16:53:21.4Z</Value>
        </SignatureTime>
      </ds:SignatureProperty>
    </ds:SignatureProperties>
  </ds:Object>
  <ds:Object Id="idOfficeObject">
    <ds:SignatureProperties>
      <ds:SignatureProperty Id="idOfficeV1Details" Target="#idSignature1">
        <SignatureInfoV1 xmlns="http://schemas.microsoft.com/office/2006/digsig">
          <ApplicationVersion>Long-Term Docs Signer 1.6.2428</ApplicationVersion>
          <ColorDepth>0</ColorDepth>
          <HorizontalResolution>0</HorizontalResolution>
          <Monitors>0</Monitors>
          <OfficeVersion/>
          <SetupID/>
          <SignatureComments/>
          <SignatureImage/>
          <SignatureProviderDetails>9</SignatureProviderDetails>
          <SignatureProviderId>{00000000-0000-0000-0000-000000000000}</SignatureProviderId>
          <SignatureProviderUrl/>
          <SignatureText/>
          <SignatureType>1</SignatureType>
          <VerticalResolution>0</VerticalResolution>
          <WindowsVersion/>
          <ManifestHashAlgorithm>http://www.w3.org/2000/09/xmldsig#sha1</ManifestHashAlgorithm>
        </SignatureInfoV1>
      </ds:SignatureProperty>
    </ds:SignatureProperties>
  </ds:Object>
</ds: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7</vt:i4>
      </vt:variant>
      <vt:variant>
        <vt:lpstr>Pojmenované oblasti</vt:lpstr>
      </vt:variant>
      <vt:variant>
        <vt:i4>9</vt:i4>
      </vt:variant>
    </vt:vector>
  </HeadingPairs>
  <TitlesOfParts>
    <vt:vector size="16" baseType="lpstr">
      <vt:lpstr>Rekapitulace</vt:lpstr>
      <vt:lpstr>palackého</vt:lpstr>
      <vt:lpstr>Ružove</vt:lpstr>
      <vt:lpstr>Wolkerovo</vt:lpstr>
      <vt:lpstr>Neuznatelné</vt:lpstr>
      <vt:lpstr>DVP</vt:lpstr>
      <vt:lpstr>Péče v prvních 3 letech</vt:lpstr>
      <vt:lpstr>palackého!Názvy_tisku</vt:lpstr>
      <vt:lpstr>Ružove!Názvy_tisku</vt:lpstr>
      <vt:lpstr>Wolkerovo!Názvy_tisku</vt:lpstr>
      <vt:lpstr>DVP!Oblast_tisku</vt:lpstr>
      <vt:lpstr>Neuznatelné!Oblast_tisku</vt:lpstr>
      <vt:lpstr>palackého!Oblast_tisku</vt:lpstr>
      <vt:lpstr>'Péče v prvních 3 letech'!Oblast_tisku</vt:lpstr>
      <vt:lpstr>Ružove!Oblast_tisku</vt:lpstr>
      <vt:lpstr>Wolkerovo!Oblast_tisku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Jitka</dc:creator>
  <cp:keywords/>
  <dc:description/>
  <cp:lastModifiedBy>Jitka</cp:lastModifiedBy>
  <cp:revision/>
  <cp:lastPrinted>2016-05-17T11:56:28Z</cp:lastPrinted>
  <dcterms:created xsi:type="dcterms:W3CDTF">2015-09-14T04:10:01Z</dcterms:created>
  <dcterms:modified xsi:type="dcterms:W3CDTF">2016-05-17T12:01:19Z</dcterms:modified>
  <cp:category/>
  <cp:contentStatus/>
</cp:coreProperties>
</file>